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x64nqaRhCxi78OZLgCdIoXBVqZnQwvPpnQRa2ExZMcBXM0t0CZZIc87HyrpVgzvoLTypNM2FgkirP6knU/g1A==" workbookSaltValue="HGiUeT1x7IKE6p0b+3bn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S19" i="8" l="1"/>
  <c r="D13" i="7"/>
  <c r="C12" i="14"/>
  <c r="K12" i="14" s="1"/>
  <c r="AB13" i="21"/>
  <c r="BG10" i="8"/>
  <c r="B9" i="6"/>
  <c r="L16" i="2"/>
  <c r="BH16" i="11"/>
  <c r="BH10" i="16"/>
  <c r="BH10" i="11"/>
  <c r="AZ12" i="11"/>
  <c r="BU16" i="17"/>
  <c r="BW11" i="20"/>
  <c r="BU10" i="17"/>
  <c r="AP17" i="20"/>
  <c r="BG15" i="11"/>
  <c r="BI15" i="11"/>
  <c r="V11" i="11"/>
  <c r="BL17" i="11"/>
  <c r="BH17"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T9"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C20" i="20"/>
  <c r="AH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G20" i="20"/>
  <c r="O10" i="11"/>
  <c r="K20" i="20"/>
  <c r="AP20" i="20"/>
  <c r="O16" i="11"/>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9" i="21"/>
  <c r="BF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AI20" i="21"/>
  <c r="AM20" i="17"/>
  <c r="U20" i="20"/>
  <c r="AL20" i="21"/>
  <c r="I20" i="17"/>
  <c r="N20" i="17"/>
  <c r="AR20" i="16"/>
  <c r="N20" i="16"/>
  <c r="AW20" i="16"/>
  <c r="K20" i="21"/>
  <c r="AU20" i="11"/>
  <c r="O20" i="16"/>
  <c r="AH20" i="11"/>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P20" i="16"/>
  <c r="BB20" i="16"/>
  <c r="AS20" i="16"/>
  <c r="BS20" i="16"/>
  <c r="H20" i="12"/>
  <c r="Y20" i="17"/>
  <c r="AM20" i="11"/>
  <c r="AA20" i="11"/>
  <c r="K20" i="12"/>
  <c r="AR20" i="17"/>
  <c r="BQ20" i="16"/>
  <c r="E20" i="12"/>
  <c r="AA20" i="16"/>
  <c r="T20" i="17"/>
  <c r="AB20" i="17"/>
  <c r="BO20" i="16"/>
  <c r="AF20" i="16"/>
  <c r="AN20" i="17"/>
  <c r="L20" i="21"/>
  <c r="F20" i="17"/>
  <c r="AI20" i="16"/>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<sst xmlns="http://schemas.openxmlformats.org/spreadsheetml/2006/main" count="2074" uniqueCount="910">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</sst>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GnrK9/tKv/KlUTlWXWrgaGg6gvF3Kla67Lb//GBr58D54c83SpkaWHFEbLZtbXmFDW3HyTTqySp3v4J74EX0w==" saltValue="Z3v3Y3fz/oaq9pRLbKdW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60.145161290322584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102</v>
      </c>
      <c r="D10" s="225">
        <f>IF(ISNUMBER(Datos!I10),Datos!I10," - ")</f>
        <v>102</v>
      </c>
      <c r="E10" s="226">
        <f>IF(ISNUMBER(Datos!J10),Datos!J10," - ")</f>
        <v>28</v>
      </c>
      <c r="F10" s="226">
        <f>IF(ISNUMBER(Datos!K10),Datos!K10," - ")</f>
        <v>24</v>
      </c>
      <c r="G10" s="1034" t="str">
        <f>IF(Datos!E10&lt;&gt;"",Datos!E10,Datos!D10)</f>
        <v>37</v>
      </c>
      <c r="H10" s="227">
        <f>IF(ISNUMBER(Datos!L10),Datos!L10," - ")</f>
        <v>106</v>
      </c>
      <c r="I10" s="1044" t="str">
        <f>IF(ISNUMBER(Datos!AS10/Datos!BM10),Datos!AS10/Datos!BM10," - ")</f>
        <v xml:space="preserve"> - </v>
      </c>
      <c r="J10" s="1045">
        <f>IF(ISNUMBER(Datos!BY10/Datos!CN10),Datos!BY10/Datos!CN10," - ")</f>
        <v>0</v>
      </c>
      <c r="K10" s="230">
        <f t="shared" ref="K10:K12" si="1">IF(ISNUMBER((E10-F10)/C10),(E10-F10)/C10," - ")</f>
        <v>3.9215686274509803E-2</v>
      </c>
      <c r="L10" s="1025">
        <f>IF(ISNUMBER(NºAsuntos!I10/NºAsuntos!G10),(NºAsuntos!I10/NºAsuntos!G10)*11," - ")</f>
        <v>48.583333333333336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102</v>
      </c>
      <c r="D13" s="1049">
        <f>SUBTOTAL(9,D9:D12)</f>
        <v>102</v>
      </c>
      <c r="E13" s="1050">
        <f>SUBTOTAL(9,E9:E12)</f>
        <v>28</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2860</v>
      </c>
      <c r="D15" s="225">
        <f>IF(ISNUMBER(IF(D_I="SI",Datos!I15,Datos!I15+Datos!AC15)),IF(D_I="SI",Datos!I15,Datos!I15+Datos!AC15)," - ")</f>
        <v>2837</v>
      </c>
      <c r="E15" s="226">
        <f>IF(ISNUMBER(IF(D_I="SI",Datos!J15,Datos!J15+Datos!AD15)),IF(D_I="SI",Datos!J15,Datos!J15+Datos!AD15)," - ")</f>
        <v>2318</v>
      </c>
      <c r="F15" s="226">
        <f>IF(ISNUMBER(IF(D_I="SI",Datos!K15,Datos!K15+Datos!AE15)),IF(D_I="SI",Datos!K15,Datos!K15+Datos!AE15)," - ")</f>
        <v>2020</v>
      </c>
      <c r="G15" s="1034" t="str">
        <f>IF(Datos!E15&lt;&gt;"",Datos!E15,Datos!D15)</f>
        <v>03</v>
      </c>
      <c r="H15" s="227">
        <f>IF(ISNUMBER(IF(D_I="SI",Datos!L15,Datos!L15+Datos!AF15)),IF(D_I="SI",Datos!L15,Datos!L15+Datos!AF15)," - ")</f>
        <v>3158</v>
      </c>
      <c r="I15" s="1044" t="str">
        <f>IF(ISNUMBER(Datos!AS15/Datos!BM15),Datos!AS15/Datos!BM15," - ")</f>
        <v xml:space="preserve"> - </v>
      </c>
      <c r="J15" s="1045">
        <f>IF(ISNUMBER(Datos!BY15/Datos!CN15),Datos!BY15/Datos!CN15," - ")</f>
        <v>0</v>
      </c>
      <c r="K15" s="230">
        <f t="shared" ref="K15:K17" si="3">IF(ISNUMBER((E15-F15)/C15),(E15-F15)/C15," - ")</f>
        <v>0.1041958041958042</v>
      </c>
      <c r="L15" s="1025">
        <f>IF(ISNUMBER(NºAsuntos!I15/NºAsuntos!G15),(NºAsuntos!I15/NºAsuntos!G15)*11," - ")</f>
        <v>17.197029702970298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2</v>
      </c>
      <c r="D16" s="225">
        <f>IF(ISNUMBER(IF(D_I="SI",Datos!I16,Datos!I16+Datos!AC16)),IF(D_I="SI",Datos!I16,Datos!I16+Datos!AC16)," - ")</f>
        <v>2</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2</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267</v>
      </c>
      <c r="D17" s="225">
        <f>IF(ISNUMBER(IF(D_I="SI",Datos!I17,Datos!I17+Datos!AC17)),IF(D_I="SI",Datos!I17,Datos!I17+Datos!AC17)," - ")</f>
        <v>267</v>
      </c>
      <c r="E17" s="226">
        <f>IF(ISNUMBER(IF(D_I="SI",Datos!J17,Datos!J17+Datos!AD17)),IF(D_I="SI",Datos!J17,Datos!J17+Datos!AD17)," - ")</f>
        <v>487</v>
      </c>
      <c r="F17" s="226">
        <f>IF(ISNUMBER(IF(D_I="SI",Datos!K17,Datos!K17+Datos!AE17)),IF(D_I="SI",Datos!K17,Datos!K17+Datos!AE17)," - ")</f>
        <v>453</v>
      </c>
      <c r="G17" s="1034" t="str">
        <f>IF(Datos!E17&lt;&gt;"",Datos!E17,Datos!D17)</f>
        <v>37</v>
      </c>
      <c r="H17" s="227">
        <f>IF(ISNUMBER(IF(D_I="SI",Datos!L17,Datos!L17+Datos!AF17)),IF(D_I="SI",Datos!L17,Datos!L17+Datos!AF17)," - ")</f>
        <v>301</v>
      </c>
      <c r="I17" s="1044" t="str">
        <f>IF(ISNUMBER(Datos!AS17/Datos!BM17),Datos!AS17/Datos!BM17," - ")</f>
        <v xml:space="preserve"> - </v>
      </c>
      <c r="J17" s="1045" t="str">
        <f>IF(ISNUMBER((Datos!BY17+Datos!BZ17)/Datos!CN17),(Datos!BY17+Datos!BZ17)/Datos!CN17," - ")</f>
        <v xml:space="preserve"> - </v>
      </c>
      <c r="K17" s="230">
        <f t="shared" si="3"/>
        <v>0.12734082397003746</v>
      </c>
      <c r="L17" s="1025">
        <f>IF(ISNUMBER(NºAsuntos!I17/NºAsuntos!G17),(NºAsuntos!I17/NºAsuntos!G17)*11," - ")</f>
        <v>7.3090507726269314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3129</v>
      </c>
      <c r="D18" s="1049">
        <f>SUBTOTAL(9,D15:D17)</f>
        <v>3106</v>
      </c>
      <c r="E18" s="1050">
        <f>SUBTOTAL(9,E15:E17)</f>
        <v>2805</v>
      </c>
      <c r="F18" s="1050">
        <f>SUBTOTAL(9,F15:F17)</f>
        <v>2473</v>
      </c>
      <c r="G18" s="1052" t="str">
        <f ca="1">INDIRECT(CONCATENATE("G",ROW()-1))</f>
        <v>37</v>
      </c>
      <c r="H18" s="1053">
        <f ca="1">SUMIF(G$14:G17,G18,H$14:H17)</f>
        <v>301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3231</v>
      </c>
      <c r="D19" s="1071">
        <f>SUBTOTAL(9,D9:D18)</f>
        <v>3208</v>
      </c>
      <c r="E19" s="1072">
        <f>SUBTOTAL(9,E9:E18)</f>
        <v>2833</v>
      </c>
      <c r="F19" s="1072">
        <f>SUBTOTAL(9,F9:F18)</f>
        <v>2497</v>
      </c>
      <c r="G19" s="1073"/>
      <c r="H19" s="1074">
        <f ca="1">SUMIF(B9:B18,"TOTAL",H9:H18)</f>
        <v>301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iG5Rk0K68vs+j/FsDD3vqYN5Ek0LdJL6GMyuoH5HC6Jxj5hwG+kYx9xx9oKbgoZbRxkVry4QfCe82WDaaQfdNA==" saltValue="4ivJ19wotW7w5DIMVxHC3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uEreXahviwVzZinBi9HwP9Ye7SyX5jvW48T3zWZYVxKRBoBtJlVyeVViMqNDKfs1RR+a6H22YCgSKWegM+cA==" saltValue="aW14wdhw0fk7qWefy5TL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5741</v>
      </c>
      <c r="J9" s="181">
        <v>1610</v>
      </c>
      <c r="K9" s="181">
        <v>1091</v>
      </c>
      <c r="L9" s="181">
        <v>6260</v>
      </c>
      <c r="M9" s="181">
        <v>303</v>
      </c>
      <c r="N9" s="181">
        <v>445</v>
      </c>
      <c r="O9" s="181">
        <v>605</v>
      </c>
      <c r="P9" s="181">
        <v>364</v>
      </c>
      <c r="Q9" s="181">
        <v>422</v>
      </c>
      <c r="R9" s="181">
        <v>6753</v>
      </c>
      <c r="S9" s="181">
        <v>4791</v>
      </c>
      <c r="T9" s="181">
        <v>1642</v>
      </c>
      <c r="U9" s="181">
        <v>1704</v>
      </c>
      <c r="V9" s="181">
        <v>5405</v>
      </c>
      <c r="W9" s="181">
        <v>328</v>
      </c>
      <c r="X9" s="188">
        <v>799</v>
      </c>
      <c r="Y9" s="191">
        <v>165</v>
      </c>
      <c r="Z9" s="181">
        <v>103</v>
      </c>
      <c r="AA9" s="181">
        <v>87</v>
      </c>
      <c r="AB9" s="181">
        <v>181</v>
      </c>
      <c r="AC9" s="181">
        <v>0</v>
      </c>
      <c r="AD9" s="181">
        <v>0</v>
      </c>
      <c r="AE9" s="181">
        <v>0</v>
      </c>
      <c r="AF9" s="188">
        <v>0</v>
      </c>
      <c r="AG9" s="191">
        <v>173</v>
      </c>
      <c r="AH9" s="181">
        <v>86</v>
      </c>
      <c r="AI9" s="181">
        <v>104</v>
      </c>
      <c r="AJ9" s="192">
        <v>172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4964</v>
      </c>
      <c r="AZ9" s="123">
        <f>IF(ISNUMBER(IF(J_V="SI",T9,T9+AH9)),IF(J_V="SI",T9,T9+AH9)," - ")</f>
        <v>1728</v>
      </c>
      <c r="BA9" s="124">
        <f>IF(ISNUMBER(IF(J_V="SI",U9,U9+AI9)),IF(J_V="SI",U9,U9+AI9)," - ")</f>
        <v>1808</v>
      </c>
      <c r="BB9" s="124">
        <f>IF(ISNUMBER(IF(J_V="SI",V9,V9+AJ9)),IF(J_V="SI",V9,V9+AJ9)," - ")</f>
        <v>5577</v>
      </c>
      <c r="BC9" s="125">
        <f>IF(ISNUMBER(X9),X9," - ")</f>
        <v>799</v>
      </c>
      <c r="BD9" s="126">
        <f>IF(ISNUMBER(BA9/AZ9),BA9/AZ9," - ")</f>
        <v>1.0462962962962963</v>
      </c>
      <c r="BE9" s="127">
        <f>IF(ISNUMBER(BB9/BA9),BB9/BA9, " - ")</f>
        <v>3.0846238938053099</v>
      </c>
      <c r="BF9" s="127">
        <f>IF(ISNUMBER(BC9/BA9),BC9/BA9, " - ")</f>
        <v>0.44192477876106195</v>
      </c>
      <c r="BG9" s="196">
        <f>IF(ISNUMBER((AY9+AZ9)/BA9),(AY9+AZ9)/BA9," - ")</f>
        <v>3.7013274336283186</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102</v>
      </c>
      <c r="J10" s="181">
        <v>28</v>
      </c>
      <c r="K10" s="181">
        <v>24</v>
      </c>
      <c r="L10" s="181">
        <v>106</v>
      </c>
      <c r="M10" s="181">
        <v>11</v>
      </c>
      <c r="N10" s="181">
        <v>6</v>
      </c>
      <c r="O10" s="181">
        <v>8</v>
      </c>
      <c r="P10" s="181">
        <v>2</v>
      </c>
      <c r="Q10" s="181">
        <v>10</v>
      </c>
      <c r="R10" s="181">
        <v>41</v>
      </c>
      <c r="S10" s="181">
        <v>52</v>
      </c>
      <c r="T10" s="181">
        <v>24</v>
      </c>
      <c r="U10" s="181">
        <v>25</v>
      </c>
      <c r="V10" s="181">
        <v>51</v>
      </c>
      <c r="W10" s="181">
        <v>5</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52</v>
      </c>
      <c r="AZ10" s="129">
        <f t="shared" si="0"/>
        <v>24</v>
      </c>
      <c r="BA10" s="129">
        <f t="shared" si="0"/>
        <v>25</v>
      </c>
      <c r="BB10" s="129">
        <f t="shared" si="0"/>
        <v>51</v>
      </c>
      <c r="BC10" s="125">
        <f t="shared" si="0"/>
        <v>5</v>
      </c>
      <c r="BD10" s="126">
        <f>IF(ISNUMBER(BA10/AZ10),BA10/AZ10," - ")</f>
        <v>1.0416666666666667</v>
      </c>
      <c r="BE10" s="127">
        <f>IF(ISNUMBER(BB10/BA10),BB10/BA10, " - ")</f>
        <v>2.04</v>
      </c>
      <c r="BF10" s="127">
        <f>IF(ISNUMBER(BC10/BA10),BC10/BA10, " - ")</f>
        <v>0.2</v>
      </c>
      <c r="BG10" s="196">
        <f>IF(ISNUMBER((AY10+AZ10)/BA10),(AY10+AZ10)/BA10," - ")</f>
        <v>3.04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v>
      </c>
      <c r="J12" s="183">
        <v>0</v>
      </c>
      <c r="K12" s="183">
        <v>1</v>
      </c>
      <c r="L12" s="183">
        <v>1</v>
      </c>
      <c r="M12" s="183">
        <v>1</v>
      </c>
      <c r="N12" s="183">
        <v>1</v>
      </c>
      <c r="O12" s="181">
        <v>1</v>
      </c>
      <c r="P12" s="183">
        <v>0</v>
      </c>
      <c r="Q12" s="183">
        <v>2</v>
      </c>
      <c r="R12" s="183">
        <v>33</v>
      </c>
      <c r="S12" s="183">
        <v>2</v>
      </c>
      <c r="T12" s="183">
        <v>0</v>
      </c>
      <c r="U12" s="183">
        <v>0</v>
      </c>
      <c r="V12" s="183">
        <v>2</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5845</v>
      </c>
      <c r="J13" s="184">
        <f t="shared" si="6"/>
        <v>1638</v>
      </c>
      <c r="K13" s="184">
        <f t="shared" si="6"/>
        <v>1116</v>
      </c>
      <c r="L13" s="184">
        <f t="shared" si="6"/>
        <v>6367</v>
      </c>
      <c r="M13" s="184">
        <f t="shared" si="6"/>
        <v>315</v>
      </c>
      <c r="N13" s="184">
        <f t="shared" si="6"/>
        <v>452</v>
      </c>
      <c r="O13" s="184">
        <f t="shared" si="6"/>
        <v>614</v>
      </c>
      <c r="P13" s="184">
        <f t="shared" si="6"/>
        <v>366</v>
      </c>
      <c r="Q13" s="184">
        <f t="shared" si="6"/>
        <v>434</v>
      </c>
      <c r="R13" s="184">
        <f t="shared" si="6"/>
        <v>6827</v>
      </c>
      <c r="S13" s="184">
        <f t="shared" si="6"/>
        <v>4845</v>
      </c>
      <c r="T13" s="184">
        <f t="shared" si="6"/>
        <v>1666</v>
      </c>
      <c r="U13" s="184">
        <f t="shared" si="6"/>
        <v>1729</v>
      </c>
      <c r="V13" s="184">
        <f t="shared" si="6"/>
        <v>5458</v>
      </c>
      <c r="W13" s="184">
        <f t="shared" si="6"/>
        <v>333</v>
      </c>
      <c r="X13" s="184">
        <f t="shared" si="6"/>
        <v>806</v>
      </c>
      <c r="Y13" s="184">
        <f t="shared" si="6"/>
        <v>165</v>
      </c>
      <c r="Z13" s="184">
        <f t="shared" si="6"/>
        <v>103</v>
      </c>
      <c r="AA13" s="184">
        <f t="shared" si="6"/>
        <v>87</v>
      </c>
      <c r="AB13" s="184">
        <f t="shared" si="6"/>
        <v>181</v>
      </c>
      <c r="AC13" s="184">
        <f t="shared" si="6"/>
        <v>0</v>
      </c>
      <c r="AD13" s="184">
        <f t="shared" si="6"/>
        <v>0</v>
      </c>
      <c r="AE13" s="184">
        <f t="shared" si="6"/>
        <v>0</v>
      </c>
      <c r="AF13" s="184">
        <f>SUBTOTAL(9,AF9:AF12)</f>
        <v>0</v>
      </c>
      <c r="AG13" s="184">
        <f t="shared" ref="AG13:AT13" si="7">SUBTOTAL(9,AG8:AG12)</f>
        <v>173</v>
      </c>
      <c r="AH13" s="184">
        <f t="shared" si="7"/>
        <v>86</v>
      </c>
      <c r="AI13" s="184">
        <f t="shared" si="7"/>
        <v>104</v>
      </c>
      <c r="AJ13" s="184">
        <f t="shared" si="7"/>
        <v>172</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5018</v>
      </c>
      <c r="AZ13" s="184">
        <f>SUBTOTAL(9,AZ8:AZ12)</f>
        <v>1752</v>
      </c>
      <c r="BA13" s="184">
        <f>SUBTOTAL(9,BA8:BA12)</f>
        <v>1833</v>
      </c>
      <c r="BB13" s="184">
        <f>SUBTOTAL(9,BB8:BB12)</f>
        <v>5630</v>
      </c>
      <c r="BC13" s="184">
        <f>SUBTOTAL(9,BC8:BC12)</f>
        <v>804</v>
      </c>
      <c r="BD13" s="205">
        <f>IF(ISNUMBER(BA13/AZ13),BA13/AZ13," - ")</f>
        <v>1.0462328767123288</v>
      </c>
      <c r="BE13" s="206">
        <f>IF(ISNUMBER(BB13/BA13),BB13/BA13, " - ")</f>
        <v>3.0714675395526458</v>
      </c>
      <c r="BF13" s="206">
        <f>IF(ISNUMBER(BC13/BA13),BC13/BA13, " - ")</f>
        <v>0.43862520458265142</v>
      </c>
      <c r="BG13" s="207">
        <f>IF(ISNUMBER((AY13+AZ13)/BA13),(AY13+AZ13)/BA13," - ")</f>
        <v>3.6933987997817783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2837</v>
      </c>
      <c r="J15" s="183">
        <v>2318</v>
      </c>
      <c r="K15" s="183">
        <v>2020</v>
      </c>
      <c r="L15" s="183">
        <v>3158</v>
      </c>
      <c r="M15" s="183">
        <v>303</v>
      </c>
      <c r="N15" s="183">
        <v>1091</v>
      </c>
      <c r="O15" s="181">
        <v>43</v>
      </c>
      <c r="P15" s="183">
        <v>85</v>
      </c>
      <c r="Q15" s="183">
        <v>99</v>
      </c>
      <c r="R15" s="183">
        <v>296</v>
      </c>
      <c r="S15" s="183">
        <v>2342</v>
      </c>
      <c r="T15" s="183">
        <v>1772</v>
      </c>
      <c r="U15" s="183">
        <v>1908</v>
      </c>
      <c r="V15" s="183">
        <v>2324</v>
      </c>
      <c r="W15" s="183">
        <v>284</v>
      </c>
      <c r="X15" s="189">
        <v>1065</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2342</v>
      </c>
      <c r="AZ15" s="129">
        <f t="shared" si="9"/>
        <v>1772</v>
      </c>
      <c r="BA15" s="129">
        <f t="shared" si="9"/>
        <v>1908</v>
      </c>
      <c r="BB15" s="129">
        <f t="shared" si="9"/>
        <v>2324</v>
      </c>
      <c r="BC15" s="125">
        <f>IF(ISNUMBER(W15),W15," - ")</f>
        <v>284</v>
      </c>
      <c r="BD15" s="126">
        <f>IF(ISNUMBER(BA15/AZ15),BA15/AZ15," - ")</f>
        <v>1.0767494356659142</v>
      </c>
      <c r="BE15" s="127">
        <f>IF(ISNUMBER(BB15/BA15),BB15/BA15, " - ")</f>
        <v>1.2180293501048218</v>
      </c>
      <c r="BF15" s="127">
        <f>IF(ISNUMBER(BC15/BA15),BC15/BA15, " - ")</f>
        <v>0.1488469601677149</v>
      </c>
      <c r="BG15" s="196">
        <f t="shared" ref="BG15:BG16" si="10">IF(ISNUMBER((AY15+AZ15)/BA15),(AY15+AZ15)/BA15," - ")</f>
        <v>2.1561844863731654</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v>
      </c>
      <c r="J16" s="183">
        <v>0</v>
      </c>
      <c r="K16" s="183">
        <v>0</v>
      </c>
      <c r="L16" s="183">
        <v>2</v>
      </c>
      <c r="M16" s="183">
        <v>0</v>
      </c>
      <c r="N16" s="183">
        <v>0</v>
      </c>
      <c r="O16" s="181">
        <v>0</v>
      </c>
      <c r="P16" s="183">
        <v>0</v>
      </c>
      <c r="Q16" s="183">
        <v>0</v>
      </c>
      <c r="R16" s="183">
        <v>0</v>
      </c>
      <c r="S16" s="183">
        <v>2</v>
      </c>
      <c r="T16" s="183">
        <v>0</v>
      </c>
      <c r="U16" s="183">
        <v>0</v>
      </c>
      <c r="V16" s="183">
        <v>2</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267</v>
      </c>
      <c r="J17" s="183">
        <v>487</v>
      </c>
      <c r="K17" s="183">
        <v>453</v>
      </c>
      <c r="L17" s="183">
        <v>301</v>
      </c>
      <c r="M17" s="183">
        <v>53</v>
      </c>
      <c r="N17" s="183">
        <v>212</v>
      </c>
      <c r="O17" s="183">
        <v>2</v>
      </c>
      <c r="P17" s="183">
        <v>4</v>
      </c>
      <c r="Q17" s="183">
        <v>2</v>
      </c>
      <c r="R17" s="183">
        <v>6</v>
      </c>
      <c r="S17" s="183">
        <v>155</v>
      </c>
      <c r="T17" s="183">
        <v>446</v>
      </c>
      <c r="U17" s="183">
        <v>409</v>
      </c>
      <c r="V17" s="183">
        <v>192</v>
      </c>
      <c r="W17" s="183">
        <v>57</v>
      </c>
      <c r="X17" s="189">
        <v>154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155</v>
      </c>
      <c r="AZ17" s="129">
        <f t="shared" si="14"/>
        <v>446</v>
      </c>
      <c r="BA17" s="129">
        <f t="shared" si="14"/>
        <v>409</v>
      </c>
      <c r="BB17" s="129">
        <f t="shared" si="14"/>
        <v>192</v>
      </c>
      <c r="BC17" s="125">
        <f>IF(ISNUMBER(W17),W17," - ")</f>
        <v>57</v>
      </c>
      <c r="BD17" s="126">
        <f>IF(ISNUMBER(BA17/AZ17),BA17/AZ17," - ")</f>
        <v>0.9170403587443946</v>
      </c>
      <c r="BE17" s="127">
        <f>IF(ISNUMBER(BB17/BA17),BB17/BA17, " - ")</f>
        <v>0.46943765281173594</v>
      </c>
      <c r="BF17" s="127">
        <f>IF(ISNUMBER(BC17/BA17),BC17/BA17, " - ")</f>
        <v>0.13936430317848411</v>
      </c>
      <c r="BG17" s="196">
        <f>IF(ISNUMBER((AY17+AZ17)/BA17),(AY17+AZ17)/BA17," - ")</f>
        <v>1.4694376528117359</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3106</v>
      </c>
      <c r="J18" s="184">
        <f t="shared" si="15"/>
        <v>2805</v>
      </c>
      <c r="K18" s="184">
        <f t="shared" si="15"/>
        <v>2473</v>
      </c>
      <c r="L18" s="184">
        <f t="shared" si="15"/>
        <v>3461</v>
      </c>
      <c r="M18" s="184">
        <f t="shared" si="15"/>
        <v>356</v>
      </c>
      <c r="N18" s="184">
        <f t="shared" si="15"/>
        <v>1303</v>
      </c>
      <c r="O18" s="184">
        <f t="shared" si="15"/>
        <v>45</v>
      </c>
      <c r="P18" s="184">
        <f t="shared" si="15"/>
        <v>89</v>
      </c>
      <c r="Q18" s="184">
        <f t="shared" si="15"/>
        <v>101</v>
      </c>
      <c r="R18" s="184">
        <f t="shared" si="15"/>
        <v>302</v>
      </c>
      <c r="S18" s="184">
        <f t="shared" si="15"/>
        <v>2499</v>
      </c>
      <c r="T18" s="184">
        <f t="shared" si="15"/>
        <v>2218</v>
      </c>
      <c r="U18" s="184">
        <f t="shared" si="15"/>
        <v>2317</v>
      </c>
      <c r="V18" s="184">
        <f t="shared" si="15"/>
        <v>2518</v>
      </c>
      <c r="W18" s="184">
        <f t="shared" si="15"/>
        <v>341</v>
      </c>
      <c r="X18" s="184">
        <f t="shared" si="15"/>
        <v>1219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2499</v>
      </c>
      <c r="AZ18" s="184">
        <f>SUBTOTAL(9,AZ14:AZ17)</f>
        <v>2218</v>
      </c>
      <c r="BA18" s="184">
        <f>SUBTOTAL(9,BA14:BA17)</f>
        <v>2317</v>
      </c>
      <c r="BB18" s="184">
        <f>SUBTOTAL(9,BB14:BB17)</f>
        <v>2518</v>
      </c>
      <c r="BC18" s="184">
        <f>SUBTOTAL(9,BC14:BC17)</f>
        <v>341</v>
      </c>
      <c r="BD18" s="205">
        <f>IF(ISNUMBER(BA18/AZ18),BA18/AZ18," - ")</f>
        <v>1.0446348061316502</v>
      </c>
      <c r="BE18" s="206">
        <f>IF(ISNUMBER(BB18/BA18),BB18/BA18, " - ")</f>
        <v>1.0867501078981441</v>
      </c>
      <c r="BF18" s="206">
        <f>IF(ISNUMBER(BC18/BA18),BC18/BA18, " - ")</f>
        <v>0.14717306862321969</v>
      </c>
      <c r="BG18" s="207">
        <f>IF(ISNUMBER((AY18+AZ18)/BA18),(AY18+AZ18)/BA18," - ")</f>
        <v>2.0358221838584378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8951</v>
      </c>
      <c r="J19" s="134">
        <f t="shared" si="18"/>
        <v>4443</v>
      </c>
      <c r="K19" s="134">
        <f t="shared" si="18"/>
        <v>3589</v>
      </c>
      <c r="L19" s="134">
        <f t="shared" si="18"/>
        <v>9828</v>
      </c>
      <c r="M19" s="134">
        <f t="shared" si="18"/>
        <v>671</v>
      </c>
      <c r="N19" s="134">
        <f t="shared" si="18"/>
        <v>1755</v>
      </c>
      <c r="O19" s="134">
        <f t="shared" si="18"/>
        <v>659</v>
      </c>
      <c r="P19" s="134">
        <f t="shared" si="18"/>
        <v>455</v>
      </c>
      <c r="Q19" s="134">
        <f t="shared" si="18"/>
        <v>535</v>
      </c>
      <c r="R19" s="134">
        <f t="shared" si="18"/>
        <v>7129</v>
      </c>
      <c r="S19" s="134">
        <f t="shared" si="18"/>
        <v>7344</v>
      </c>
      <c r="T19" s="134">
        <f t="shared" si="18"/>
        <v>3884</v>
      </c>
      <c r="U19" s="134">
        <f t="shared" si="18"/>
        <v>4046</v>
      </c>
      <c r="V19" s="134">
        <f t="shared" si="18"/>
        <v>7976</v>
      </c>
      <c r="W19" s="134">
        <f t="shared" si="18"/>
        <v>674</v>
      </c>
      <c r="X19" s="134">
        <f t="shared" si="18"/>
        <v>2025</v>
      </c>
      <c r="Y19" s="134">
        <f t="shared" si="18"/>
        <v>165</v>
      </c>
      <c r="Z19" s="134">
        <f t="shared" si="18"/>
        <v>103</v>
      </c>
      <c r="AA19" s="134">
        <f t="shared" si="18"/>
        <v>87</v>
      </c>
      <c r="AB19" s="134">
        <f t="shared" si="18"/>
        <v>181</v>
      </c>
      <c r="AC19" s="134">
        <f t="shared" si="18"/>
        <v>0</v>
      </c>
      <c r="AD19" s="134">
        <f t="shared" si="18"/>
        <v>0</v>
      </c>
      <c r="AE19" s="134">
        <f t="shared" si="18"/>
        <v>0</v>
      </c>
      <c r="AF19" s="134">
        <f t="shared" si="18"/>
        <v>0</v>
      </c>
      <c r="AG19" s="134">
        <f t="shared" si="18"/>
        <v>173</v>
      </c>
      <c r="AH19" s="134">
        <f t="shared" si="18"/>
        <v>86</v>
      </c>
      <c r="AI19" s="134">
        <f t="shared" si="18"/>
        <v>104</v>
      </c>
      <c r="AJ19" s="134">
        <f t="shared" si="18"/>
        <v>172</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7517</v>
      </c>
      <c r="AZ19" s="134">
        <f>SUBTOTAL(9,AZ9:AZ18)</f>
        <v>3970</v>
      </c>
      <c r="BA19" s="134">
        <f>SUBTOTAL(9,BA9:BA18)</f>
        <v>4150</v>
      </c>
      <c r="BB19" s="134">
        <f>SUBTOTAL(9,BB9:BB18)</f>
        <v>8148</v>
      </c>
      <c r="BC19" s="135">
        <f>SUBTOTAL(9,BC9:BC18)</f>
        <v>1145</v>
      </c>
      <c r="BD19" s="213">
        <f>IF(ISNUMBER(BA19/AZ19),BA19/AZ19," - ")</f>
        <v>1.0453400503778338</v>
      </c>
      <c r="BE19" s="210">
        <f>IF(ISNUMBER(BB19/BA19),BB19/BA19, " - ")</f>
        <v>1.9633734939759035</v>
      </c>
      <c r="BF19" s="210">
        <f>IF(ISNUMBER(BC19/BA19),BC19/BA19, " - ")</f>
        <v>0.27590361445783135</v>
      </c>
      <c r="BG19" s="135">
        <f>IF(ISNUMBER((AY19+AZ19)/BA19),(AY19+AZ19)/BA19," - ")</f>
        <v>2.7679518072289158</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p4ViJdlrzBoigKmLQaRn1eHAziqmp9TXTGndIOxRCuNdYJUMDoW+N+zT+oiCE62KrNKdFxRI+6hcx1noNxxA==" saltValue="2StpBnYSKn+gfgQ7MYpb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YvK0E89MpAp9og8I3NBS4lT7kV1TLA5MUoy4TuIpNwDniDNIgeML0PXLKzmvPMLwtIM95OziGhioXhbDQ/Q==" saltValue="P6WL8KIk9CQtfhnFKNI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103</v>
      </c>
      <c r="O9" s="334"/>
      <c r="P9" s="334"/>
      <c r="Q9" s="226">
        <f>IF(ISNUMBER(Datos!P9),Datos!P9,0)</f>
        <v>364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422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181</v>
      </c>
      <c r="AI9" s="334" t="str">
        <f>IF(ISNUMBER(Datos!CD9),Datos!CD9,"-")</f>
        <v>-</v>
      </c>
      <c r="AJ9" s="334" t="str">
        <f>IF(ISNUMBER(Datos!EN9),Datos!EN9," - ")</f>
        <v xml:space="preserve"> - </v>
      </c>
      <c r="AK9" s="334"/>
      <c r="AL9" s="479"/>
      <c r="AM9" s="335">
        <f>IF(ISNUMBER(Datos!R9),Datos!R9," - ")</f>
        <v>6753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303</v>
      </c>
      <c r="BD9" s="229">
        <f>IF(ISNUMBER(Datos!N9),Datos!N9," - ")</f>
        <v>445</v>
      </c>
      <c r="BE9" s="229" t="str">
        <f>IF(ISNUMBER(Datos!BW9),Datos!BW9," - ")</f>
        <v xml:space="preserve"> - </v>
      </c>
      <c r="BF9" s="228" t="str">
        <f>IF(ISNUMBER(Datos!BX9),Datos!BX9," - ")</f>
        <v xml:space="preserve"> - </v>
      </c>
      <c r="BG9" s="243">
        <f>IF(ISNUMBER(IF(J_V="SI",Datos!K9/Datos!J9,(Datos!K9+Datos!AA9)/(Datos!J9+Datos!Z9))),IF(J_V="SI",Datos!K9/Datos!J9,(Datos!K9+Datos!AA9)/(Datos!J9+Datos!Z9))," - ")</f>
        <v>0.68768242848803274</v>
      </c>
      <c r="BH9" s="260">
        <f>IF(ISNUMBER(((IF(J_V="SI",Datos!L9/Datos!K9,(Datos!L9+Datos!AB9)/(Datos!K9+Datos!AA9)))*11)/factor_trimestre),((IF(J_V="SI",Datos!L9/Datos!K9,(Datos!L9+Datos!AB9)/(Datos!K9+Datos!AA9)))*11)/factor_trimestre," - ")</f>
        <v>10.935483870967742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-8.5156364704155035E-3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102</v>
      </c>
      <c r="G10" s="333">
        <f>IF(ISNUMBER(Datos!I10),Datos!I10," - ")</f>
        <v>102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10</v>
      </c>
      <c r="AD10" s="334"/>
      <c r="AE10" s="484"/>
      <c r="AF10" s="332">
        <f>IF(ISNUMBER(Datos!L10),Datos!L10,"-")</f>
        <v>106</v>
      </c>
      <c r="AG10" s="334"/>
      <c r="AH10" s="334"/>
      <c r="AI10" s="334"/>
      <c r="AJ10" s="334"/>
      <c r="AK10" s="334"/>
      <c r="AL10" s="479"/>
      <c r="AM10" s="335">
        <f>IF(ISNUMBER(Datos!R10),Datos!R10," - ")</f>
        <v>41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6</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8.8333333333333339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-0.16326530612244897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33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v>
      </c>
      <c r="BD12" s="229">
        <f>IF(ISNUMBER(Datos!N12),Datos!N12," - ")</f>
        <v>1</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f>IF(ISNUMBER(((IF(J_V="SI",Datos!L12/Datos!K12,(Datos!L12+Datos!AB12)/(Datos!K12+Datos!AA12)))*11)/factor_trimestre),((IF(J_V="SI",Datos!L12/Datos!K12,(Datos!L12+Datos!AB12)/(Datos!K12+Datos!AA12)))*11)/factor_trimestre," - ")</f>
        <v>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-5.7142857142857141E-2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6</v>
      </c>
      <c r="F13" s="898">
        <f t="shared" si="0"/>
        <v>102</v>
      </c>
      <c r="G13" s="898">
        <f t="shared" si="0"/>
        <v>102</v>
      </c>
      <c r="H13" s="899">
        <f t="shared" si="0"/>
        <v>0</v>
      </c>
      <c r="I13" s="898">
        <f t="shared" si="0"/>
        <v>0</v>
      </c>
      <c r="J13" s="867">
        <f t="shared" si="0"/>
        <v>0</v>
      </c>
      <c r="K13" s="867">
        <f t="shared" si="0"/>
        <v>0</v>
      </c>
      <c r="L13" s="899">
        <f t="shared" si="0"/>
        <v>0</v>
      </c>
      <c r="M13" s="899">
        <f t="shared" si="0"/>
        <v>0</v>
      </c>
      <c r="N13" s="899">
        <f t="shared" si="0"/>
        <v>103</v>
      </c>
      <c r="O13" s="900">
        <f t="shared" si="0"/>
        <v>0</v>
      </c>
      <c r="P13" s="900">
        <f t="shared" si="0"/>
        <v>0</v>
      </c>
      <c r="Q13" s="899">
        <f t="shared" si="0"/>
        <v>366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434</v>
      </c>
      <c r="AD13" s="899">
        <f t="shared" si="1"/>
        <v>0</v>
      </c>
      <c r="AE13" s="899">
        <f t="shared" si="1"/>
        <v>0</v>
      </c>
      <c r="AF13" s="899">
        <f t="shared" si="1"/>
        <v>106</v>
      </c>
      <c r="AG13" s="899">
        <f t="shared" si="1"/>
        <v>0</v>
      </c>
      <c r="AH13" s="899">
        <f t="shared" si="1"/>
        <v>181</v>
      </c>
      <c r="AI13" s="899">
        <f t="shared" si="1"/>
        <v>0</v>
      </c>
      <c r="AJ13" s="899">
        <f t="shared" si="1"/>
        <v>0</v>
      </c>
      <c r="AK13" s="899">
        <f t="shared" si="1"/>
        <v>0</v>
      </c>
      <c r="AL13" s="899">
        <f t="shared" si="1"/>
        <v>0</v>
      </c>
      <c r="AM13" s="899">
        <f t="shared" si="1"/>
        <v>6827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315</v>
      </c>
      <c r="BD13" s="899">
        <f t="shared" si="1"/>
        <v>452</v>
      </c>
      <c r="BE13" s="899">
        <f t="shared" si="1"/>
        <v>0</v>
      </c>
      <c r="BF13" s="899">
        <f t="shared" si="1"/>
        <v>0</v>
      </c>
      <c r="BG13" s="899">
        <f>IF(ISNUMBER(Datos!K13/Datos!J13),Datos!K13/Datos!J13," - ")</f>
        <v>0.68131868131868134</v>
      </c>
      <c r="BH13" s="903">
        <f>IF(ISNUMBER(((Datos!L13/Datos!K13)*11)/factor_trimestre),((Datos!L13/Datos!K13)*11)/factor_trimestre," - ")</f>
        <v>11.410394265232975</v>
      </c>
      <c r="BI13" s="899">
        <f>IF(ISNUMBER('Resol  Asuntos'!D13/NºAsuntos!G13),'Resol  Asuntos'!D13/NºAsuntos!G13," - ")</f>
        <v>0.26184538653366585</v>
      </c>
      <c r="BJ13" s="899" t="str">
        <f>IF(ISNUMBER(Datos!CI13/Datos!CJ13),Datos!CI13/Datos!CJ13," - ")</f>
        <v xml:space="preserve"> - </v>
      </c>
      <c r="BK13" s="899">
        <f>SUBTOTAL(9,BK8:BK12)</f>
        <v>0</v>
      </c>
      <c r="BL13" s="899">
        <f>IF(ISNUMBER((I13-AB13+L13)/(F13)),(I13-AB13+L13)/(F13)," - ")</f>
        <v>-0.23529411764705882</v>
      </c>
      <c r="BM13" s="904">
        <f>SUBTOTAL(9,BM9:BM12)</f>
        <v>-0.22892379973572161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2860</v>
      </c>
      <c r="G15" s="598">
        <f>IF(ISNUMBER(IF(D_I="SI",Datos!I15,Datos!I15+Datos!AC15)),IF(D_I="SI",Datos!I15,Datos!I15+Datos!AC15)," - ")</f>
        <v>2837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2020</v>
      </c>
      <c r="AC15" s="226">
        <f>IF(ISNUMBER(Datos!Q15),Datos!Q15," - ")</f>
        <v>99</v>
      </c>
      <c r="AD15" s="334"/>
      <c r="AE15" s="484"/>
      <c r="AF15" s="596">
        <f>IF(ISNUMBER(IF(D_I="SI",Datos!L15,Datos!L15+Datos!AF15)),IF(D_I="SI",Datos!L15,Datos!L15+Datos!AF15)," - ")</f>
        <v>3158</v>
      </c>
      <c r="AG15" s="334"/>
      <c r="AH15" s="334"/>
      <c r="AI15" s="334"/>
      <c r="AJ15" s="334"/>
      <c r="AK15" s="334"/>
      <c r="AL15" s="479"/>
      <c r="AM15" s="335">
        <f>IF(ISNUMBER(Datos!R15),Datos!R15," - ")</f>
        <v>296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303</v>
      </c>
      <c r="BD15" s="229">
        <f>IF(ISNUMBER(Datos!N15),Datos!N15," - ")</f>
        <v>1091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0.87144089732528041</v>
      </c>
      <c r="BH15" s="260">
        <f>IF(ISNUMBER(((IF(D_I="SI",Datos!L15/Datos!K15,(Datos!L15+Datos!AF15)/(Datos!K15+Datos!AE15)))*11)/factor_trimestre),((IF(D_I="SI",Datos!L15/Datos!K15,(Datos!L15+Datos!AF15)/(Datos!K15+Datos!AE15)))*11)/factor_trimestre," - ")</f>
        <v>3.1267326732673268</v>
      </c>
      <c r="BI15" s="243">
        <f>IF(ISNUMBER('Resol  Asuntos'!D15/NºAsuntos!G15),'Resol  Asuntos'!D15/NºAsuntos!G15," - ")</f>
        <v>0.15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v>
      </c>
      <c r="G16" s="598">
        <f>IF(ISNUMBER(IF(D_I="SI",Datos!I16,Datos!I16+Datos!AC16)),IF(D_I="SI",Datos!I16,Datos!I16+Datos!AC16)," - ")</f>
        <v>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2</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453</v>
      </c>
      <c r="AC17" s="226">
        <f>IF(ISNUMBER(Datos!Q17),Datos!Q17," - ")</f>
        <v>2</v>
      </c>
      <c r="AD17" s="334"/>
      <c r="AE17" s="484"/>
      <c r="AF17" s="332">
        <f>IF(ISNUMBER(Datos!L17),Datos!L17,"-")</f>
        <v>301</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53</v>
      </c>
      <c r="BD17" s="229">
        <f>IF(ISNUMBER(Datos!N17),Datos!N17," - ")</f>
        <v>212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0.93018480492813138</v>
      </c>
      <c r="BH17" s="260">
        <f>IF(ISNUMBER(((IF(D_I="SI",Datos!L17/Datos!K17,(Datos!L17+Datos!AF17)/(Datos!K17+Datos!AE17)))*11)/factor_trimestre),((IF(D_I="SI",Datos!L17/Datos!K17,(Datos!L17+Datos!AF17)/(Datos!K17+Datos!AE17)))*11)/factor_trimestre," - ")</f>
        <v>1.3289183222958056</v>
      </c>
      <c r="BI17" s="243">
        <f>IF(ISNUMBER('Resol  Asuntos'!D17/NºAsuntos!G17),'Resol  Asuntos'!D17/NºAsuntos!G17," - ")</f>
        <v>0.11699779249448124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5</v>
      </c>
      <c r="F18" s="898">
        <f>SUBTOTAL(9,F15:F17)</f>
        <v>2862</v>
      </c>
      <c r="G18" s="898">
        <f>SUBTOTAL(9,G15:G17)</f>
        <v>3106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2473</v>
      </c>
      <c r="AC18" s="899">
        <f t="shared" si="4"/>
        <v>101</v>
      </c>
      <c r="AD18" s="899">
        <f t="shared" si="4"/>
        <v>0</v>
      </c>
      <c r="AE18" s="899">
        <f t="shared" si="4"/>
        <v>0</v>
      </c>
      <c r="AF18" s="899">
        <f t="shared" si="4"/>
        <v>3461</v>
      </c>
      <c r="AG18" s="899">
        <f t="shared" si="4"/>
        <v>0</v>
      </c>
      <c r="AH18" s="899">
        <f t="shared" si="4"/>
        <v>0</v>
      </c>
      <c r="AI18" s="899">
        <f t="shared" si="4"/>
        <v>0</v>
      </c>
      <c r="AJ18" s="899">
        <f t="shared" si="4"/>
        <v>0</v>
      </c>
      <c r="AK18" s="899">
        <f t="shared" si="4"/>
        <v>0</v>
      </c>
      <c r="AL18" s="899">
        <f t="shared" si="4"/>
        <v>0</v>
      </c>
      <c r="AM18" s="899">
        <f t="shared" si="4"/>
        <v>302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356</v>
      </c>
      <c r="BD18" s="899">
        <f t="shared" si="4"/>
        <v>1303</v>
      </c>
      <c r="BE18" s="899">
        <f t="shared" si="4"/>
        <v>0</v>
      </c>
      <c r="BF18" s="899">
        <f t="shared" si="4"/>
        <v>0</v>
      </c>
      <c r="BG18" s="899">
        <f>IF(ISNUMBER(Datos!K18/Datos!J18),Datos!K18/Datos!J18," - ")</f>
        <v>0.88163992869875218</v>
      </c>
      <c r="BH18" s="903">
        <f>IF(ISNUMBER(((Datos!L18/Datos!K18)*11)/factor_trimestre),((Datos!L18/Datos!K18)*11)/factor_trimestre," - ")</f>
        <v>2.7990295188030734</v>
      </c>
      <c r="BI18" s="899">
        <f>SUBTOTAL(9,BI15:BI17)</f>
        <v>0.26699779249448125</v>
      </c>
      <c r="BJ18" s="899">
        <f>SUBTOTAL(9,BJ15:BJ17)</f>
        <v>0</v>
      </c>
      <c r="BK18" s="899">
        <f>SUBTOTAL(9,BK15:BK17)</f>
        <v>0</v>
      </c>
      <c r="BL18" s="899">
        <f>IF(ISNUMBER((I18-AB18+L18)/(F18)),(I18-AB18+L18)/(F18)," - ")</f>
        <v>-0.86408106219426972</v>
      </c>
      <c r="BM18" s="905">
        <f>IF(ISNUMBER((Datos!P18-Datos!Q18)/(Datos!R18-Datos!P18+Datos!Q18)),(Datos!P18-Datos!Q18)/(Datos!R18-Datos!P18+Datos!Q18)," - ")</f>
        <v>-3.8216560509554139E-2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11</v>
      </c>
      <c r="F19" s="820">
        <f t="shared" si="6"/>
        <v>2964</v>
      </c>
      <c r="G19" s="820">
        <f t="shared" si="6"/>
        <v>3208</v>
      </c>
      <c r="H19" s="822">
        <f t="shared" si="6"/>
        <v>0</v>
      </c>
      <c r="I19" s="820">
        <f t="shared" si="6"/>
        <v>0</v>
      </c>
      <c r="J19" s="822">
        <f t="shared" si="6"/>
        <v>0</v>
      </c>
      <c r="K19" s="822">
        <f t="shared" si="6"/>
        <v>0</v>
      </c>
      <c r="L19" s="881">
        <f t="shared" si="6"/>
        <v>0</v>
      </c>
      <c r="M19" s="881">
        <f t="shared" si="6"/>
        <v>0</v>
      </c>
      <c r="N19" s="881">
        <f t="shared" si="6"/>
        <v>103</v>
      </c>
      <c r="O19" s="881">
        <f t="shared" si="6"/>
        <v>0</v>
      </c>
      <c r="P19" s="881">
        <f t="shared" si="6"/>
        <v>0</v>
      </c>
      <c r="Q19" s="822">
        <f t="shared" si="6"/>
        <v>455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2497</v>
      </c>
      <c r="AC19" s="821">
        <f t="shared" si="7"/>
        <v>535</v>
      </c>
      <c r="AD19" s="821">
        <f t="shared" si="7"/>
        <v>0</v>
      </c>
      <c r="AE19" s="821">
        <f t="shared" si="7"/>
        <v>0</v>
      </c>
      <c r="AF19" s="828">
        <f t="shared" si="7"/>
        <v>3567</v>
      </c>
      <c r="AG19" s="828">
        <f t="shared" si="7"/>
        <v>0</v>
      </c>
      <c r="AH19" s="828">
        <f t="shared" si="7"/>
        <v>181</v>
      </c>
      <c r="AI19" s="828">
        <f t="shared" si="7"/>
        <v>0</v>
      </c>
      <c r="AJ19" s="821">
        <f t="shared" si="7"/>
        <v>0</v>
      </c>
      <c r="AK19" s="828">
        <f t="shared" si="7"/>
        <v>0</v>
      </c>
      <c r="AL19" s="828">
        <f t="shared" si="7"/>
        <v>0</v>
      </c>
      <c r="AM19" s="828">
        <f t="shared" si="7"/>
        <v>7129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671</v>
      </c>
      <c r="BD19" s="820">
        <f t="shared" si="7"/>
        <v>1755</v>
      </c>
      <c r="BE19" s="820">
        <f t="shared" si="7"/>
        <v>0</v>
      </c>
      <c r="BF19" s="830">
        <f t="shared" si="7"/>
        <v>0</v>
      </c>
      <c r="BG19" s="915">
        <f>IF(ISNUMBER(Datos!K19/Datos!J19),Datos!K19/Datos!J19," - ")</f>
        <v>0.80778753094755795</v>
      </c>
      <c r="BH19" s="915">
        <f>IF(ISNUMBER(((Datos!L19/Datos!K19)*11)/factor_trimestre),((Datos!L19/Datos!K19)*11)/factor_trimestre," - ")</f>
        <v>5.4767344664251878</v>
      </c>
      <c r="BI19" s="813">
        <f>IF(ISNUMBER(Datos!J19/Datos!I19),Datos!J19/Datos!I19," - ")</f>
        <v>0.49636912076862921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-0.84244264507422406</v>
      </c>
      <c r="BM19" s="889">
        <f>IF(ISNUMBER((Datos!P19-Datos!Q19+R19)/(Datos!R19-Datos!P19+Datos!Q19-R19)),(Datos!P19-Datos!Q19+R19)/(Datos!R19-Datos!P19+Datos!Q19-R19)," - ")</f>
        <v>-1.1097239561659037E-2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1069.3333333333333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1529.9688885725748</v>
      </c>
      <c r="G21" s="552">
        <f>IF(ISNUMBER(STDEV(G8:G18)),STDEV(G8:G18),"-")</f>
        <v>1478.3141299015804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1117.6598170582438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163.61518441583769</v>
      </c>
      <c r="BD21" s="551"/>
      <c r="BE21" s="551">
        <f>IF(ISNUMBER(STDEV(BE8:BE18)),STDEV(BE8:BE18),"-")</f>
        <v>0</v>
      </c>
      <c r="BF21" s="556">
        <f>IF(ISNUMBER(STDEV(BF8:BF18)),STDEV(BF8:BF18),"-")</f>
        <v>0</v>
      </c>
      <c r="BG21" s="775">
        <f>IF(ISNUMBER(STDEV(BG8:BG18)),STDEV(BG8:BG18),"-")</f>
        <v>0.10647787085961259</v>
      </c>
      <c r="BH21" s="776">
        <f>IF(ISNUMBER(STDEV(BH8:BH18)),STDEV(BH8:BH18),"-")</f>
        <v>4.4277466280488778</v>
      </c>
      <c r="BI21" s="249">
        <f>IF(ISNUMBER(STDEV(BI8:BI18)),STDEV(BI8:BI18),"-")</f>
        <v>7.6808415567463137E-2</v>
      </c>
      <c r="BJ21" s="230" t="str">
        <f>IF(ISNUMBER(BL21/BM21),BL21/BM21," - ")</f>
        <v xml:space="preserve"> - </v>
      </c>
      <c r="BK21" s="575"/>
      <c r="BL21" s="559">
        <f>IF(ISNUMBER(STDEV(BL8:BL18)),STDEV(BL8:BL18),"-")</f>
        <v>0.44461951241090247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DmjRCBMyuwReEwJ6wjSGAYn72sEiwm3tOrAZGZjisGMW9+hXElYTwlC2xVkryCnFCwskzqrOwaukOztFuHJrLg==" saltValue="IxmoBl6u5CEMxS1d0zwF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BENIDORM</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364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422</v>
      </c>
      <c r="AA9" s="332" t="str">
        <f>IF(ISNUMBER(IF(J_V="SI",Datos!L9,Datos!L9+Datos!AB9)-IF(Monitorios="SI",Datos!CD9,0)),
                          IF(J_V="SI",Datos!L9,Datos!L9+Datos!AB9)-IF(Monitorios="SI",Datos!CD9,0),
                          " - ")</f>
        <v xml:space="preserve"> - </v>
      </c>
      <c r="AB9" s="334"/>
      <c r="AC9" s="334"/>
      <c r="AD9" s="484"/>
      <c r="AE9" s="484">
        <f>IF(ISNUMBER(Datos!R9),Datos!R9," - ")</f>
        <v>6753</v>
      </c>
      <c r="AF9" s="229" t="str">
        <f>IF(ISNUMBER(Datos!BV9),Datos!BV9," - ")</f>
        <v xml:space="preserve"> - </v>
      </c>
      <c r="AG9" s="225" t="str">
        <f>IF(ISNUMBER(Datos!DV9),Datos!DV9," - ")</f>
        <v xml:space="preserve"> - </v>
      </c>
      <c r="AH9" s="298"/>
      <c r="AI9" s="227"/>
      <c r="AJ9" s="225">
        <f>IF(ISNUMBER(Datos!M9),Datos!M9," - ")</f>
        <v>303</v>
      </c>
      <c r="AK9" s="229">
        <f>IF(ISNUMBER(Datos!N9),Datos!N9," - ")</f>
        <v>445</v>
      </c>
      <c r="AL9" s="229" t="str">
        <f>IF(ISNUMBER(Datos!BW9),Datos!BW9," - ")</f>
        <v xml:space="preserve"> - </v>
      </c>
      <c r="AM9" s="228" t="str">
        <f>IF(ISNUMBER(Datos!BX9),Datos!BX9," - ")</f>
        <v xml:space="preserve"> - </v>
      </c>
      <c r="AN9" s="243"/>
      <c r="AO9" s="260">
        <f>IF(ISNUMBER(((NºAsuntos!I9/NºAsuntos!G9)*11)/factor_trimestre),((NºAsuntos!I9/NºAsuntos!G9)*11)/factor_trimestre," - ")</f>
        <v>10.935483870967742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-8.5156364704155035E-3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102</v>
      </c>
      <c r="G10" s="225">
        <f>IF(ISNUMBER(Datos!I10),Datos!I10," - ")</f>
        <v>102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10</v>
      </c>
      <c r="AA10" s="332">
        <f>IF(ISNUMBER(Datos!L10),Datos!L10,"-")</f>
        <v>106</v>
      </c>
      <c r="AB10" s="334"/>
      <c r="AC10" s="334"/>
      <c r="AD10" s="484"/>
      <c r="AE10" s="484">
        <f>IF(ISNUMBER(Datos!R10),Datos!R10," - ")</f>
        <v>41</v>
      </c>
      <c r="AF10" s="229" t="str">
        <f>IF(ISNUMBER(Datos!BV10),Datos!BV10," - ")</f>
        <v xml:space="preserve"> - </v>
      </c>
      <c r="AG10" s="225" t="str">
        <f>IF(ISNUMBER(Datos!DV10),Datos!DV10," - ")</f>
        <v xml:space="preserve"> - </v>
      </c>
      <c r="AH10" s="298"/>
      <c r="AI10" s="227"/>
      <c r="AJ10" s="225">
        <f>IF(ISNUMBER(Datos!M10),Datos!M10," - ")</f>
        <v>11</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8.8333333333333339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-0.16326530612244897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33</v>
      </c>
      <c r="AF12" s="229" t="str">
        <f>IF(ISNUMBER(Datos!BV12),Datos!BV12," - ")</f>
        <v xml:space="preserve"> - </v>
      </c>
      <c r="AG12" s="225" t="str">
        <f>IF(ISNUMBER(Datos!DV12),Datos!DV12," - ")</f>
        <v xml:space="preserve"> - </v>
      </c>
      <c r="AH12" s="298"/>
      <c r="AI12" s="227"/>
      <c r="AJ12" s="225">
        <f>IF(ISNUMBER(Datos!M12),Datos!M12," - ")</f>
        <v>1</v>
      </c>
      <c r="AK12" s="229">
        <f>IF(ISNUMBER(Datos!N12),Datos!N12," - ")</f>
        <v>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-5.7142857142857141E-2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6</v>
      </c>
      <c r="F13" s="898">
        <f>SUBTOTAL(9,F8:F12)</f>
        <v>102</v>
      </c>
      <c r="G13" s="898">
        <f>SUBTOTAL(9,G8:G12)</f>
        <v>102</v>
      </c>
      <c r="H13" s="908"/>
      <c r="I13" s="898">
        <f t="shared" ref="I13:N13" si="0">SUBTOTAL(9,I8:I12)</f>
        <v>0</v>
      </c>
      <c r="J13" s="867">
        <f t="shared" si="0"/>
        <v>0</v>
      </c>
      <c r="K13" s="908">
        <f t="shared" si="0"/>
        <v>0</v>
      </c>
      <c r="L13" s="908">
        <f t="shared" si="0"/>
        <v>0</v>
      </c>
      <c r="M13" s="908">
        <f t="shared" si="0"/>
        <v>0</v>
      </c>
      <c r="N13" s="908">
        <f t="shared" si="0"/>
        <v>366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434</v>
      </c>
      <c r="AA13" s="900">
        <f t="shared" si="2"/>
        <v>106</v>
      </c>
      <c r="AB13" s="900">
        <f t="shared" si="2"/>
        <v>0</v>
      </c>
      <c r="AC13" s="900">
        <f t="shared" si="2"/>
        <v>0</v>
      </c>
      <c r="AD13" s="900">
        <f t="shared" si="2"/>
        <v>0</v>
      </c>
      <c r="AE13" s="900">
        <f t="shared" si="2"/>
        <v>6827</v>
      </c>
      <c r="AF13" s="908">
        <f t="shared" si="2"/>
        <v>0</v>
      </c>
      <c r="AG13" s="908">
        <f t="shared" si="2"/>
        <v>0</v>
      </c>
      <c r="AH13" s="908">
        <f t="shared" si="2"/>
        <v>0</v>
      </c>
      <c r="AI13" s="908">
        <f t="shared" si="2"/>
        <v>0</v>
      </c>
      <c r="AJ13" s="908">
        <f t="shared" si="2"/>
        <v>315</v>
      </c>
      <c r="AK13" s="908">
        <f t="shared" si="2"/>
        <v>452</v>
      </c>
      <c r="AL13" s="908">
        <f t="shared" si="2"/>
        <v>0</v>
      </c>
      <c r="AM13" s="908">
        <f t="shared" si="2"/>
        <v>0</v>
      </c>
      <c r="AN13" s="908">
        <f t="shared" si="2"/>
        <v>0</v>
      </c>
      <c r="AO13" s="904">
        <f>IF(ISNUMBER(((NºAsuntos!I13/NºAsuntos!G13)*11)/factor_trimestre),((NºAsuntos!I13/NºAsuntos!G13)*11)/factor_trimestre," - ")</f>
        <v>10.88611803823774</v>
      </c>
      <c r="AP13" s="910" t="str">
        <f>IF(ISNUMBER(Datos!CI13/Datos!CJ13),Datos!CI13/Datos!CJ13," - ")</f>
        <v xml:space="preserve"> - </v>
      </c>
      <c r="AQ13" s="928">
        <f t="shared" ref="AQ13:AV13" si="3">SUBTOTAL(9,AQ9:AQ12)</f>
        <v>0</v>
      </c>
      <c r="AR13" s="928">
        <f t="shared" si="3"/>
        <v>-0.22892379973572161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2860</v>
      </c>
      <c r="G15" s="225">
        <f>IF(ISNUMBER(IF(D_I="SI",Datos!I15,Datos!I15+Datos!AC15)),IF(D_I="SI",Datos!I15,Datos!I15+Datos!AC15)," - ")</f>
        <v>2837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2020</v>
      </c>
      <c r="Z15" s="619">
        <f>IF(ISNUMBER(Datos!Q15),Datos!Q15," - ")</f>
        <v>99</v>
      </c>
      <c r="AA15" s="332">
        <f>IF(ISNUMBER(IF(D_I="SI",Datos!L15,Datos!L15+Datos!AF15)),IF(D_I="SI",Datos!L15,Datos!L15+Datos!AF15)," - ")</f>
        <v>3158</v>
      </c>
      <c r="AB15" s="334"/>
      <c r="AC15" s="334"/>
      <c r="AD15" s="484"/>
      <c r="AE15" s="484">
        <f>IF(ISNUMBER(Datos!R15),Datos!R15," - ")</f>
        <v>296</v>
      </c>
      <c r="AF15" s="229" t="str">
        <f>IF(ISNUMBER(Datos!BV15),Datos!BV15," - ")</f>
        <v xml:space="preserve"> - </v>
      </c>
      <c r="AG15" s="225"/>
      <c r="AH15" s="298"/>
      <c r="AI15" s="227"/>
      <c r="AJ15" s="225">
        <f>IF(ISNUMBER(Datos!M15),Datos!M15," - ")</f>
        <v>303</v>
      </c>
      <c r="AK15" s="229">
        <f>IF(ISNUMBER(Datos!N15),Datos!N15," - ")</f>
        <v>1091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3.1267326732673268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2</v>
      </c>
      <c r="G16" s="225">
        <f>IF(ISNUMBER(IF(D_I="SI",Datos!I16,Datos!I16+Datos!AC16)),IF(D_I="SI",Datos!I16,Datos!I16+Datos!AC16)," - ")</f>
        <v>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2</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453</v>
      </c>
      <c r="Z17" s="619">
        <f>IF(ISNUMBER(Datos!Q17),Datos!Q17," - ")</f>
        <v>2</v>
      </c>
      <c r="AA17" s="332">
        <f>IF(ISNUMBER(Datos!L17),Datos!L17,"-")</f>
        <v>301</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53</v>
      </c>
      <c r="AK17" s="229">
        <f>IF(ISNUMBER(Datos!N17),Datos!N17," - ")</f>
        <v>212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1.3289183222958056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5</v>
      </c>
      <c r="F18" s="898">
        <f>SUBTOTAL(9,F15:F17)</f>
        <v>2862</v>
      </c>
      <c r="G18" s="898">
        <f>SUBTOTAL(9,G15:G17)</f>
        <v>3106</v>
      </c>
      <c r="H18" s="932">
        <f>SUBTOTAL(9,H15:H17)</f>
        <v>0</v>
      </c>
      <c r="I18" s="911">
        <f>SUBTOTAL(9,I15:I17)</f>
        <v>0</v>
      </c>
      <c r="J18" s="867">
        <f>SUBTOTAL(9,J14:J17)</f>
        <v>0</v>
      </c>
      <c r="K18" s="932">
        <f t="shared" ref="K18:S18" si="4">SUBTOTAL(9,K15:K17)</f>
        <v>0</v>
      </c>
      <c r="L18" s="932">
        <f t="shared" si="4"/>
        <v>0</v>
      </c>
      <c r="M18" s="932">
        <f t="shared" si="4"/>
        <v>0</v>
      </c>
      <c r="N18" s="932">
        <f t="shared" si="4"/>
        <v>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2473</v>
      </c>
      <c r="Z18" s="932">
        <f t="shared" si="5"/>
        <v>101</v>
      </c>
      <c r="AA18" s="932">
        <f t="shared" si="5"/>
        <v>3461</v>
      </c>
      <c r="AB18" s="932">
        <f t="shared" si="5"/>
        <v>0</v>
      </c>
      <c r="AC18" s="932">
        <f t="shared" si="5"/>
        <v>0</v>
      </c>
      <c r="AD18" s="932">
        <f t="shared" si="5"/>
        <v>0</v>
      </c>
      <c r="AE18" s="932">
        <f t="shared" si="5"/>
        <v>302</v>
      </c>
      <c r="AF18" s="932">
        <f t="shared" si="5"/>
        <v>0</v>
      </c>
      <c r="AG18" s="932">
        <f t="shared" si="5"/>
        <v>0</v>
      </c>
      <c r="AH18" s="932">
        <f t="shared" si="5"/>
        <v>0</v>
      </c>
      <c r="AI18" s="932">
        <f t="shared" si="5"/>
        <v>0</v>
      </c>
      <c r="AJ18" s="932">
        <f t="shared" si="5"/>
        <v>356</v>
      </c>
      <c r="AK18" s="932">
        <f t="shared" si="5"/>
        <v>1303</v>
      </c>
      <c r="AL18" s="932">
        <f t="shared" si="5"/>
        <v>0</v>
      </c>
      <c r="AM18" s="932">
        <f t="shared" si="5"/>
        <v>0</v>
      </c>
      <c r="AN18" s="932">
        <f t="shared" si="5"/>
        <v>0</v>
      </c>
      <c r="AO18" s="934">
        <f>IF(ISNUMBER(((NºAsuntos!I18/NºAsuntos!G18)*11)/factor_trimestre),((NºAsuntos!I18/NºAsuntos!G18)*11)/factor_trimestre," - ")</f>
        <v>2.7990295188030734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2964</v>
      </c>
      <c r="G19" s="820">
        <f t="shared" si="7"/>
        <v>3208</v>
      </c>
      <c r="H19" s="821">
        <f t="shared" si="7"/>
        <v>0</v>
      </c>
      <c r="I19" s="820">
        <f t="shared" si="7"/>
        <v>0</v>
      </c>
      <c r="J19" s="822">
        <f t="shared" si="7"/>
        <v>0</v>
      </c>
      <c r="K19" s="820">
        <f t="shared" si="7"/>
        <v>0</v>
      </c>
      <c r="L19" s="823">
        <f t="shared" si="7"/>
        <v>0</v>
      </c>
      <c r="M19" s="820">
        <f t="shared" si="7"/>
        <v>0</v>
      </c>
      <c r="N19" s="821">
        <f t="shared" si="7"/>
        <v>455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2497</v>
      </c>
      <c r="Z19" s="827">
        <f t="shared" si="8"/>
        <v>535</v>
      </c>
      <c r="AA19" s="828">
        <f t="shared" si="8"/>
        <v>3567</v>
      </c>
      <c r="AB19" s="828">
        <f t="shared" si="8"/>
        <v>0</v>
      </c>
      <c r="AC19" s="828">
        <f t="shared" si="8"/>
        <v>0</v>
      </c>
      <c r="AD19" s="829">
        <f t="shared" si="8"/>
        <v>0</v>
      </c>
      <c r="AE19" s="829">
        <f t="shared" si="8"/>
        <v>7129</v>
      </c>
      <c r="AF19" s="830">
        <f t="shared" si="8"/>
        <v>0</v>
      </c>
      <c r="AG19" s="831">
        <f t="shared" si="8"/>
        <v>0</v>
      </c>
      <c r="AH19" s="832">
        <f t="shared" si="8"/>
        <v>0</v>
      </c>
      <c r="AI19" s="830">
        <f t="shared" si="8"/>
        <v>0</v>
      </c>
      <c r="AJ19" s="820">
        <f t="shared" si="8"/>
        <v>671</v>
      </c>
      <c r="AK19" s="820">
        <f t="shared" si="8"/>
        <v>1755</v>
      </c>
      <c r="AL19" s="820">
        <f t="shared" si="8"/>
        <v>0</v>
      </c>
      <c r="AM19" s="833">
        <f t="shared" si="8"/>
        <v>0</v>
      </c>
      <c r="AN19" s="823">
        <f>IF(ISNUMBER(Datos!K19/Datos!J19),Datos!K19/Datos!J19," - ")</f>
        <v>0.80778753094755795</v>
      </c>
      <c r="AO19" s="823">
        <f>IF(ISNUMBER(FIND("06",Criterios!A8,1)),(IF(ISNUMBER(((Datos!R19/Datos!Q19)*11)/factor_trimestre),((Datos!R19/Datos!Q19)*11)/factor_trimestre," - ")),(IF(ISNUMBER(((Datos!L19/Datos!K19)*11)/factor_trimestre),((Datos!L19/Datos!K19)*11)/factor_trimestre," - ")))</f>
        <v>5.4767344664251878</v>
      </c>
      <c r="AP19" s="834" t="str">
        <f>IF(ISNUMBER(Datos!CI19/Datos!CJ19),Datos!CI19/Datos!CJ19," - ")</f>
        <v xml:space="preserve"> - </v>
      </c>
      <c r="AQ19" s="834">
        <f>IF(OR(ISNUMBER(FIND("01",Criterios!A8,1)),ISNUMBER(FIND("02",Criterios!A8,1)),ISNUMBER(FIND("03",Criterios!A8,1)),ISNUMBER(FIND("04",Criterios!A8,1))),(J19-Y19+K19)/(F19-K19),(I19-Y19+K19)/(F19-K19))</f>
        <v>-0.84244264507422406</v>
      </c>
      <c r="AR19" s="834">
        <f>IF(ISNUMBER((Datos!P19-Datos!Q19+O19)/(Datos!R19-Datos!P19+Datos!Q19-O19)),(Datos!P19-Datos!Q19+O19)/(Datos!R19-Datos!P19+Datos!Q19-O19)," - ")</f>
        <v>-1.1097239561659037E-2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1069.3333333333333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1529.9688885725748</v>
      </c>
      <c r="G21" s="552">
        <f>IF(ISNUMBER(STDEV(G8:G18)),STDEV(G8:G18),"-")</f>
        <v>1478.3141299015804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163.61518441583769</v>
      </c>
      <c r="AK21" s="252"/>
      <c r="AL21" s="252">
        <f>IF(ISNUMBER(STDEV(AL8:AL18)),STDEV(AL8:AL18),"-")</f>
        <v>0</v>
      </c>
      <c r="AM21" s="254">
        <f>IF(ISNUMBER(STDEV(AM8:AM18)),STDEV(AM8:AM18),"-")</f>
        <v>0</v>
      </c>
      <c r="AN21" s="539">
        <f>IF(ISNUMBER(STDEV(AN8:AN18)),STDEV(AN8:AN18),"-")</f>
        <v>0</v>
      </c>
      <c r="AO21" s="540">
        <f>IF(ISNUMBER(STDEV(AO8:AO18)),STDEV(AO8:AO18),"-")</f>
        <v>4.3196752528261984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oas/ovWP8hSSZjZQ4d/3g49zrOAvb4qyRngEv2w1LmCgSPr/8AA0b/mjQ1senhley8DF+VYq/K4FSrdtHHo86w==" saltValue="IQcxtCwx1ImNuFPVEGuC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kxH3HdL+yCcGO5XoLrhrcLEEjGrVhwfM4/apHiNfcB0PbqUAGp3L9hG+adXhG8N7DUqkf54rWxXQNzJnEn+Eg==" saltValue="wCwVefYw384Kdz3AsQf3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EN9PVcnYmKm4iQ0J/StB/o16BxhWUIu+Ld6UBmNpSqk/spdbg7VVRxCf/oKwp0kpKiw6CouCZJgVefpo+FPA==" saltValue="ysvahtn5qB7yni8ZNxqI9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0.26184538653366585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0.1851526484403678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X/2pePdKyslNi/xmTFfS72UlN/Lz83Xeu/VJXXMylZnKGA1c0C1kCivywoBi3RlOWf/TeYHSBOQZfc/4QgSaSg==" saltValue="xYP6z4Hp7C9hcLphOSDi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Lo9fP35rpKnZyrbVSNrL76P6moKqDgzR/7RxMF83itqgaDtT66i1nWvlISGV/xUGuyhenx9LUjgqvzUFElHOCg==" saltValue="7cala1BCi4pnIZAJCfph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BENIDORM</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5906</v>
      </c>
      <c r="D9" s="404">
        <f>IF(ISNUMBER(C9/Datos!BH9),C9/Datos!BH9," - ")</f>
        <v>1181.2</v>
      </c>
      <c r="E9" s="403">
        <f>IF(ISNUMBER(IF(J_V="SI",Datos!J9,Datos!J9+Datos!Z9)),IF(J_V="SI",Datos!J9,Datos!J9+Datos!Z9)," - ")</f>
        <v>1713</v>
      </c>
      <c r="F9" s="404">
        <f>IF(ISNUMBER(E9/B9),E9/B9," - ")</f>
        <v>342.6</v>
      </c>
      <c r="G9" s="403">
        <f>IF(ISNUMBER(IF(J_V="SI",Datos!K9,Datos!K9+Datos!AA9)),IF(J_V="SI",Datos!K9,Datos!K9+Datos!AA9)," - ")</f>
        <v>1178</v>
      </c>
      <c r="H9" s="404">
        <f>IF(ISNUMBER(G9/B9),G9/B9," - ")</f>
        <v>235.6</v>
      </c>
      <c r="I9" s="403">
        <f>IF(ISNUMBER(IF(J_V="SI",Datos!L9,Datos!L9+Datos!AB9)),IF(J_V="SI",Datos!L9,Datos!L9+Datos!AB9)," - ")</f>
        <v>6441</v>
      </c>
      <c r="J9" s="404">
        <f>IF(ISNUMBER(I9/B9),I9/B9," - ")</f>
        <v>1288.2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102</v>
      </c>
      <c r="D10" s="404">
        <f>IF(ISNUMBER(C10/Datos!BH10),C10/Datos!BH10," - ")</f>
        <v>102</v>
      </c>
      <c r="E10" s="403">
        <f>IF(ISNUMBER(Datos!J10),Datos!J10," - ")</f>
        <v>28</v>
      </c>
      <c r="F10" s="404">
        <f>IF(ISNUMBER(E10/B10),E10/B10," - ")</f>
        <v>28</v>
      </c>
      <c r="G10" s="403">
        <f>IF(ISNUMBER(Datos!K10),Datos!K10," - ")</f>
        <v>24</v>
      </c>
      <c r="H10" s="404">
        <f>IF(ISNUMBER(G10/B10),G10/B10," - ")</f>
        <v>24</v>
      </c>
      <c r="I10" s="403">
        <f>IF(ISNUMBER(Datos!L10),Datos!L10," - ")</f>
        <v>106</v>
      </c>
      <c r="J10" s="404">
        <f>IF(ISNUMBER(I10/B10),I10/B10," - ")</f>
        <v>106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2</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1</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6010</v>
      </c>
      <c r="D13" s="850" t="str">
        <f>IF(ISNUMBER(C13/Datos!BI13),C13/Datos!BI13," - ")</f>
        <v xml:space="preserve"> - </v>
      </c>
      <c r="E13" s="849">
        <f>SUBTOTAL(9,E8:E12)</f>
        <v>1741</v>
      </c>
      <c r="F13" s="850">
        <f>IF(ISNUMBER(E13/B13),E13/B13," - ")</f>
        <v>290.16666666666669</v>
      </c>
      <c r="G13" s="849">
        <f>SUBTOTAL(9,G8:G12)</f>
        <v>1203</v>
      </c>
      <c r="H13" s="850">
        <f>IF(ISNUMBER(G13/B13),G13/B13," - ")</f>
        <v>200.5</v>
      </c>
      <c r="I13" s="849">
        <f>SUBTOTAL(9,I8:I12)</f>
        <v>6548</v>
      </c>
      <c r="J13" s="850">
        <f>IF(ISNUMBER(I13/B13),I13/B13," - ")</f>
        <v>1091.3333333333333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2837</v>
      </c>
      <c r="D15" s="404">
        <f>IF(ISNUMBER(C15/Datos!BH15),C15/Datos!BH15," - ")</f>
        <v>709.25</v>
      </c>
      <c r="E15" s="403">
        <f>IF(ISNUMBER(IF(D_I="SI",Datos!J15,Datos!J15+Datos!AD15)),IF(D_I="SI",Datos!J15,Datos!J15+Datos!AD15)," - ")</f>
        <v>2318</v>
      </c>
      <c r="F15" s="404">
        <f>IF(ISNUMBER(E15/B15),E15/B15," - ")</f>
        <v>579.5</v>
      </c>
      <c r="G15" s="403">
        <f>IF(ISNUMBER(IF(D_I="SI",Datos!K15,Datos!K15+Datos!AE15)),IF(D_I="SI",Datos!K15,Datos!K15+Datos!AE15)," - ")</f>
        <v>2020</v>
      </c>
      <c r="H15" s="404">
        <f>IF(ISNUMBER(G15/B15),G15/B15," - ")</f>
        <v>505</v>
      </c>
      <c r="I15" s="403">
        <f>IF(ISNUMBER(IF(D_I="SI",Datos!L15,Datos!L15+Datos!AF15)),IF(D_I="SI",Datos!L15,Datos!L15+Datos!AF15)," - ")</f>
        <v>3158</v>
      </c>
      <c r="J15" s="404">
        <f>IF(ISNUMBER(I15/B15),I15/B15," - ")</f>
        <v>789.5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2</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2</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267</v>
      </c>
      <c r="D17" s="404">
        <f>IF(ISNUMBER(C17/Datos!BH17),C17/Datos!BH17," - ")</f>
        <v>267</v>
      </c>
      <c r="E17" s="403">
        <f>IF(ISNUMBER(IF(D_I="SI",Datos!J17,Datos!J17+Datos!AD17)),IF(D_I="SI",Datos!J17,Datos!J17+Datos!AD17)," - ")</f>
        <v>487</v>
      </c>
      <c r="F17" s="404">
        <f>IF(ISNUMBER(E17/B17),E17/B17," - ")</f>
        <v>487</v>
      </c>
      <c r="G17" s="403">
        <f>IF(ISNUMBER(IF(D_I="SI",Datos!K17,Datos!K17+Datos!AE17)),IF(D_I="SI",Datos!K17,Datos!K17+Datos!AE17)," - ")</f>
        <v>453</v>
      </c>
      <c r="H17" s="404">
        <f>IF(ISNUMBER(G17/B17),G17/B17," - ")</f>
        <v>453</v>
      </c>
      <c r="I17" s="403">
        <f>IF(ISNUMBER(IF(D_I="SI",Datos!L17,Datos!L17+Datos!AF17)),IF(D_I="SI",Datos!L17,Datos!L17+Datos!AF17)," - ")</f>
        <v>301</v>
      </c>
      <c r="J17" s="404">
        <f>IF(ISNUMBER(I17/B17),I17/B17," - ")</f>
        <v>301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3106</v>
      </c>
      <c r="D18" s="850" t="str">
        <f>IF(ISNUMBER(C18/Datos!BI18),C18/Datos!BI18," - ")</f>
        <v xml:space="preserve"> - </v>
      </c>
      <c r="E18" s="849">
        <f>SUBTOTAL(9,E14:E17)</f>
        <v>2805</v>
      </c>
      <c r="F18" s="850">
        <f>IF(ISNUMBER(E18/B18),E18/B18," - ")</f>
        <v>561</v>
      </c>
      <c r="G18" s="849">
        <f>SUBTOTAL(9,G14:G17)</f>
        <v>2473</v>
      </c>
      <c r="H18" s="850">
        <f>IF(ISNUMBER(G18/B18),G18/B18," - ")</f>
        <v>494.6</v>
      </c>
      <c r="I18" s="849">
        <f>SUBTOTAL(9,I14:I17)</f>
        <v>3461</v>
      </c>
      <c r="J18" s="850">
        <f>IF(ISNUMBER(I18/B18),I18/B18," - ")</f>
        <v>692.2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9116</v>
      </c>
      <c r="D19" s="795" t="str">
        <f>IF(ISNUMBER(C19/Datos!BI19),C19/Datos!BI19," - ")</f>
        <v xml:space="preserve"> - </v>
      </c>
      <c r="E19" s="794">
        <f>SUBTOTAL(9,E9:E18)</f>
        <v>4546</v>
      </c>
      <c r="F19" s="795">
        <f>IF(ISNUMBER(E19/B19),E19/B19," - ")</f>
        <v>454.6</v>
      </c>
      <c r="G19" s="794">
        <f>SUBTOTAL(9,G9:G18)</f>
        <v>3676</v>
      </c>
      <c r="H19" s="795">
        <f>IF(ISNUMBER(G19/B19),G19/B19," - ")</f>
        <v>367.6</v>
      </c>
      <c r="I19" s="794">
        <f>SUBTOTAL(9,I9:I18)</f>
        <v>10009</v>
      </c>
      <c r="J19" s="795">
        <f>IF(ISNUMBER(I19/B19),I19/B19," - ")</f>
        <v>1000.9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jOT5NOR6v28zYl81TGygPI/1aM0lcy3Mw8Se3UcZwhJslVVFPfEBwlxRbgx3GM+xHblq4qp/8LoFtZXmMg9NXg==" saltValue="j/uC/4NRIL6+/kNHqQMd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102</v>
      </c>
      <c r="G10" s="684">
        <f>IF(ISNUMBER(Datos!I10),Datos!I10," - ")</f>
        <v>102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106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8.8333333333333339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v>
      </c>
      <c r="AM12" s="690">
        <f>IF(ISNUMBER(Datos!N12+DatosP!N16),Datos!N12+DatosP!N16," - ")</f>
        <v>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-5.7142857142857141E-2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102</v>
      </c>
      <c r="G13" s="938">
        <f t="shared" si="0"/>
        <v>102</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2</v>
      </c>
      <c r="AE13" s="939">
        <f t="shared" si="1"/>
        <v>0</v>
      </c>
      <c r="AF13" s="939">
        <f t="shared" si="1"/>
        <v>106</v>
      </c>
      <c r="AG13" s="939">
        <f t="shared" si="1"/>
        <v>0</v>
      </c>
      <c r="AH13" s="939">
        <f t="shared" si="1"/>
        <v>33</v>
      </c>
      <c r="AI13" s="939">
        <f t="shared" si="1"/>
        <v>0</v>
      </c>
      <c r="AJ13" s="939">
        <f t="shared" si="1"/>
        <v>0</v>
      </c>
      <c r="AK13" s="939">
        <f t="shared" si="1"/>
        <v>0</v>
      </c>
      <c r="AL13" s="939">
        <f t="shared" si="1"/>
        <v>12</v>
      </c>
      <c r="AM13" s="939">
        <f t="shared" si="1"/>
        <v>7</v>
      </c>
      <c r="AN13" s="939">
        <f t="shared" si="1"/>
        <v>0</v>
      </c>
      <c r="AO13" s="939">
        <f t="shared" si="1"/>
        <v>0</v>
      </c>
      <c r="AP13" s="944">
        <f>IF(ISNUMBER(((Datos!L13/Datos!K13)*11)/factor_trimestre),((Datos!L13/Datos!K13)*11)/factor_trimestre," - ")</f>
        <v>11.410394265232975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-0.23529411764705882</v>
      </c>
      <c r="AU13" s="939" t="str">
        <f>IF(ISNUMBER((DatosP!#REF!-DatosP!#REF!+DatosP!#REF!)/(DatosP!#REF!+DatosP!#REF!-DatosP!#REF!-DatosP!#REF!)),(DatosP!#REF!-DatosP!#REF!+DatosP!#REF!)/(DatosP!#REF!+DatosP!#REF!-DatosP!#REF!-DatosP!#REF!)," - ")</f>
        <v xml:space="preserve"> - </v>
      </c>
      <c r="AV13" s="945">
        <f>SUBTOTAL(9,AV9:AV12)</f>
        <v>-5.7142857142857141E-2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2.7990295188030734</v>
      </c>
      <c r="AQ18" s="944">
        <f>IF(ISNUMBER(((Datos!M18/Datos!L18)*11)/factor_trimestre),((Datos!M18/Datos!L18)*11)/factor_trimestre," - ")</f>
        <v>0.20572088991620918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-3.8216560509554139E-2</v>
      </c>
      <c r="AW18" s="946">
        <f>IF(ISNUMBER((Datos!Q18-Datos!R18)/(Datos!S18-Datos!Q18+Datos!R18)),(Datos!Q18-Datos!R18)/(Datos!S18-Datos!Q18+Datos!R18)," - ")</f>
        <v>-7.4444444444444438E-2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102</v>
      </c>
      <c r="G19" s="951">
        <f t="shared" si="4"/>
        <v>102</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2</v>
      </c>
      <c r="AE19" s="957">
        <f t="shared" si="5"/>
        <v>0</v>
      </c>
      <c r="AF19" s="958">
        <f t="shared" si="5"/>
        <v>106</v>
      </c>
      <c r="AG19" s="958">
        <f t="shared" si="5"/>
        <v>0</v>
      </c>
      <c r="AH19" s="958">
        <f t="shared" si="5"/>
        <v>33</v>
      </c>
      <c r="AI19" s="958">
        <f t="shared" si="5"/>
        <v>0</v>
      </c>
      <c r="AJ19" s="959">
        <f t="shared" si="5"/>
        <v>0</v>
      </c>
      <c r="AK19" s="959">
        <f t="shared" si="5"/>
        <v>0</v>
      </c>
      <c r="AL19" s="951">
        <f t="shared" si="5"/>
        <v>12</v>
      </c>
      <c r="AM19" s="951">
        <f t="shared" si="5"/>
        <v>7</v>
      </c>
      <c r="AN19" s="951">
        <f t="shared" si="5"/>
        <v>0</v>
      </c>
      <c r="AO19" s="951">
        <f t="shared" si="5"/>
        <v>0</v>
      </c>
      <c r="AP19" s="951">
        <f>IF(ISNUMBER(((Datos!L19/Datos!K19)*11)/factor_trimestre),((Datos!L19/Datos!K19)*11)/factor_trimestre," - ")</f>
        <v>5.4767344664251878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-0.23529411764705882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-1.1097239561659037E-2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58.889727457341827</v>
      </c>
      <c r="G21" s="737">
        <f>IF(ISNUMBER(STDEV(G8:G18)),STDEV(G8:G18),"-")</f>
        <v>58.889727457341827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6.3770421565696633</v>
      </c>
      <c r="AM21" s="736"/>
      <c r="AN21" s="736">
        <f>IF(ISNUMBER(STDEV(AN8:AN18)),STDEV(AN8:AN18),"-")</f>
        <v>0</v>
      </c>
      <c r="AO21" s="742">
        <f>IF(ISNUMBER(STDEV(AO8:AO18)),STDEV(AO8:AO18),"-")</f>
        <v>0</v>
      </c>
      <c r="AP21" s="779">
        <f>IF(ISNUMBER(STDEV(AP8:AP18)),STDEV(AP8:AP18),"-")</f>
        <v>4.5925490490242842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EFoC8mn0ceD62IgwMTiGZsU/dflcfbBP5T30ENc9Uj8iwF4tYHRMnzWOFR8mPpjfNHYlfcIaNfdxXXf2XZQ06A==" saltValue="ZvJWRIhFYZ5/JXVv3Quf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BENIDORM</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MYdw45HqcynFtOsYMHWQSVlBQBO3xwsR8JF9YXcKfIwvqZJE77ZI7bk93wZKky18FtVN0D73o6mWjXT7aLpY3w==" saltValue="qaO24r/8IPzNrW4Wo6kq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BENIDORM</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303</v>
      </c>
      <c r="E9" s="404">
        <f t="shared" ref="E9:E13" si="0">IF(ISNUMBER(D9/B9),D9/B9," - ")</f>
        <v>60.6</v>
      </c>
      <c r="F9" s="403">
        <f>IF(ISNUMBER(Datos!N9),Datos!N9," - ")</f>
        <v>445</v>
      </c>
      <c r="G9" s="404">
        <f t="shared" ref="G9:G13" si="1">IF(ISNUMBER(F9/B9),F9/B9," - ")</f>
        <v>89</v>
      </c>
      <c r="H9" s="403">
        <f>IF(ISNUMBER(Datos!O9),Datos!O9," - ")</f>
        <v>605</v>
      </c>
      <c r="I9" s="404">
        <f>IF(ISNUMBER(H9/B9),H9/B9," - ")</f>
        <v>121</v>
      </c>
      <c r="BZ9" s="1186">
        <f>Datos!EZ9</f>
        <v>0</v>
      </c>
    </row>
    <row r="10" spans="1:78">
      <c r="A10" s="402" t="str">
        <f>Datos!A10</f>
        <v>Jdos. Violencia contra la mujer</v>
      </c>
      <c r="B10" s="427">
        <f>Datos!AO10</f>
        <v>1</v>
      </c>
      <c r="C10" s="410">
        <f>Datos!AQ10</f>
        <v>1</v>
      </c>
      <c r="D10" s="403">
        <f>IF(ISNUMBER(Datos!M10),Datos!M10," - ")</f>
        <v>11</v>
      </c>
      <c r="E10" s="404">
        <f>IF(ISNUMBER(D10/B10),D10/B10," - ")</f>
        <v>11</v>
      </c>
      <c r="F10" s="403">
        <f>IF(ISNUMBER(Datos!N10),Datos!N10," - ")</f>
        <v>6</v>
      </c>
      <c r="G10" s="404">
        <f>IF(ISNUMBER(F10/B10),F10/B10," - ")</f>
        <v>6</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1</v>
      </c>
      <c r="E12" s="404" t="str">
        <f t="shared" si="0"/>
        <v xml:space="preserve"> - </v>
      </c>
      <c r="F12" s="403">
        <f>IF(ISNUMBER(Datos!N12),Datos!N12," - ")</f>
        <v>1</v>
      </c>
      <c r="G12" s="404" t="str">
        <f t="shared" si="1"/>
        <v xml:space="preserve"> - </v>
      </c>
      <c r="H12" s="403">
        <f>IF(ISNUMBER(Datos!O12),Datos!O12," - ")</f>
        <v>1</v>
      </c>
      <c r="I12" s="404" t="str">
        <f t="shared" si="2"/>
        <v xml:space="preserve"> - </v>
      </c>
      <c r="BZ12" s="1186">
        <f>Datos!EZ12</f>
        <v>0</v>
      </c>
    </row>
    <row r="13" spans="1:78" ht="14.25" thickTop="1" thickBot="1">
      <c r="A13" s="848" t="str">
        <f>Datos!A13</f>
        <v>TOTAL</v>
      </c>
      <c r="B13" s="849">
        <f>Datos!AP13</f>
        <v>6</v>
      </c>
      <c r="C13" s="851">
        <f>Datos!AR13</f>
        <v>6</v>
      </c>
      <c r="D13" s="849">
        <f>SUBTOTAL(9,D9:D12)</f>
        <v>315</v>
      </c>
      <c r="E13" s="850">
        <f t="shared" si="0"/>
        <v>52.5</v>
      </c>
      <c r="F13" s="849">
        <f>SUBTOTAL(9,F9:F12)</f>
        <v>452</v>
      </c>
      <c r="G13" s="850">
        <f t="shared" si="1"/>
        <v>75.333333333333329</v>
      </c>
      <c r="H13" s="849">
        <f>SUBTOTAL(9,H9:H12)</f>
        <v>614</v>
      </c>
      <c r="I13" s="850">
        <f>IF(ISNUMBER(H13/B13),H13/B13," - ")</f>
        <v>102.33333333333333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303</v>
      </c>
      <c r="E15" s="404">
        <f t="shared" ref="E15:E18" si="3">IF(ISNUMBER(D15/B15),D15/B15," - ")</f>
        <v>75.75</v>
      </c>
      <c r="F15" s="403">
        <f>IF(ISNUMBER(Datos!N15),Datos!N15," - ")</f>
        <v>1091</v>
      </c>
      <c r="G15" s="404">
        <f t="shared" ref="G15:G18" si="4">IF(ISNUMBER(F15/B15),F15/B15," - ")</f>
        <v>272.75</v>
      </c>
      <c r="H15" s="403">
        <f>IF(ISNUMBER(Datos!O15),Datos!O15," - ")</f>
        <v>43</v>
      </c>
      <c r="I15" s="404">
        <f t="shared" ref="I15:I17" si="5">IF(ISNUMBER(H15/B15),H15/B15," - ")</f>
        <v>10.75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53</v>
      </c>
      <c r="E17" s="404">
        <f>IF(ISNUMBER(D17/B17),D17/B17," - ")</f>
        <v>53</v>
      </c>
      <c r="F17" s="403">
        <f>IF(ISNUMBER(Datos!N17),Datos!N17," - ")</f>
        <v>212</v>
      </c>
      <c r="G17" s="404">
        <f>IF(ISNUMBER(F17/B17),F17/B17," - ")</f>
        <v>212</v>
      </c>
      <c r="H17" s="403">
        <f>IF(ISNUMBER(Datos!O17),Datos!O17," - ")</f>
        <v>2</v>
      </c>
      <c r="I17" s="404">
        <f t="shared" si="5"/>
        <v>2</v>
      </c>
      <c r="BZ17" s="1186">
        <f>Datos!EZ17</f>
        <v>0</v>
      </c>
    </row>
    <row r="18" spans="1:78" ht="14.25" thickTop="1" thickBot="1">
      <c r="A18" s="848" t="str">
        <f>Datos!A18</f>
        <v>TOTAL</v>
      </c>
      <c r="B18" s="849">
        <f>Datos!AP18</f>
        <v>5</v>
      </c>
      <c r="C18" s="851">
        <f>Datos!AR18</f>
        <v>5</v>
      </c>
      <c r="D18" s="849">
        <f>SUBTOTAL(9,D15:D17)</f>
        <v>356</v>
      </c>
      <c r="E18" s="850">
        <f t="shared" si="3"/>
        <v>71.2</v>
      </c>
      <c r="F18" s="849">
        <f>SUBTOTAL(9,F15:F17)</f>
        <v>1303</v>
      </c>
      <c r="G18" s="850">
        <f t="shared" si="4"/>
        <v>260.60000000000002</v>
      </c>
      <c r="H18" s="849">
        <f>SUBTOTAL(9,H15:H17)</f>
        <v>45</v>
      </c>
      <c r="I18" s="850">
        <f>IF(ISNUMBER(H18/B18),H18/B18," - ")</f>
        <v>9</v>
      </c>
      <c r="BZ18" s="1186"/>
    </row>
    <row r="19" spans="1:78" ht="14.25" thickTop="1" thickBot="1">
      <c r="A19" s="793" t="str">
        <f>Datos!A19</f>
        <v>TOTAL JURISDICCIONES</v>
      </c>
      <c r="B19" s="794">
        <f>Datos!AP19</f>
        <v>10</v>
      </c>
      <c r="C19" s="794">
        <f>Datos!AR19</f>
        <v>10</v>
      </c>
      <c r="D19" s="794">
        <f>SUBTOTAL(9,D8:D18)</f>
        <v>671</v>
      </c>
      <c r="E19" s="795">
        <f>IF(ISNUMBER(D19/B19),D19/B19," - ")</f>
        <v>67.099999999999994</v>
      </c>
      <c r="F19" s="794">
        <f>SUBTOTAL(9,F8:F18)</f>
        <v>1755</v>
      </c>
      <c r="G19" s="795">
        <f>IF(ISNUMBER(F19/B19),F19/B19," - ")</f>
        <v>175.5</v>
      </c>
      <c r="H19" s="794">
        <f>SUBTOTAL(9,H8:H18)</f>
        <v>659</v>
      </c>
      <c r="I19" s="795">
        <f>IF(ISNUMBER(H19/B19),H19/B19," - ")</f>
        <v>65.900000000000006</v>
      </c>
    </row>
    <row r="22" spans="1:78">
      <c r="A22" s="391" t="str">
        <f>Criterios!A4</f>
        <v>Fecha Informe: 29 nov. 2024</v>
      </c>
    </row>
    <row r="27" spans="1:78">
      <c r="A27" s="414"/>
    </row>
  </sheetData>
  <sheetProtection algorithmName="SHA-512" hashValue="llLjOPfWrPm7PY3r4mplbz7LqZI7hXJB9bslcSj5XTUm+CRxp4wwugn2B1cYzAHl0FrBL+K5nG3iH9JcuIy6/w==" saltValue="/G9bzg5dT/oF3vpWCYq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BENIDORM</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364</v>
      </c>
      <c r="C9" s="434">
        <f>IF(ISNUMBER(Datos!Q9),Datos!Q9," - ")</f>
        <v>422</v>
      </c>
      <c r="D9" s="408">
        <f>IF(ISNUMBER(Datos!R9),Datos!R9," - ")</f>
        <v>6753</v>
      </c>
    </row>
    <row r="10" spans="1:4">
      <c r="A10" s="402" t="str">
        <f>Datos!A10</f>
        <v>Jdos. Violencia contra la mujer</v>
      </c>
      <c r="B10" s="433">
        <f>IF(ISNUMBER(Datos!P10),Datos!P10," - ")</f>
        <v>2</v>
      </c>
      <c r="C10" s="434">
        <f>IF(ISNUMBER(Datos!Q10),Datos!Q10," - ")</f>
        <v>10</v>
      </c>
      <c r="D10" s="408">
        <f>IF(ISNUMBER(Datos!R10),Datos!R10," - ")</f>
        <v>41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2</v>
      </c>
      <c r="D12" s="408">
        <f>IF(ISNUMBER(Datos!R12),Datos!R12," - ")</f>
        <v>33</v>
      </c>
    </row>
    <row r="13" spans="1:4" ht="14.25" thickTop="1" thickBot="1">
      <c r="A13" s="848" t="str">
        <f>Datos!A13</f>
        <v>TOTAL</v>
      </c>
      <c r="B13" s="849">
        <f>SUBTOTAL(9,B9:B12)</f>
        <v>366</v>
      </c>
      <c r="C13" s="853">
        <f>SUBTOTAL(9,C9:C12)</f>
        <v>434</v>
      </c>
      <c r="D13" s="851">
        <f>SUBTOTAL(9,D9:D12)</f>
        <v>6827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85</v>
      </c>
      <c r="C15" s="434">
        <f>IF(ISNUMBER(Datos!Q15),Datos!Q15," - ")</f>
        <v>99</v>
      </c>
      <c r="D15" s="408">
        <f>IF(ISNUMBER(Datos!R15),Datos!R15," - ")</f>
        <v>296</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4</v>
      </c>
      <c r="C17" s="434">
        <f>IF(ISNUMBER(Datos!Q17),Datos!Q17," - ")</f>
        <v>2</v>
      </c>
      <c r="D17" s="408">
        <f>IF(ISNUMBER(Datos!R17),Datos!R17," - ")</f>
        <v>6</v>
      </c>
    </row>
    <row r="18" spans="1:4" ht="14.25" thickTop="1" thickBot="1">
      <c r="A18" s="848" t="str">
        <f>Datos!A18</f>
        <v>TOTAL</v>
      </c>
      <c r="B18" s="849">
        <f>SUBTOTAL(9,B15:B17)</f>
        <v>89</v>
      </c>
      <c r="C18" s="853">
        <f>SUBTOTAL(9,C15:C17)</f>
        <v>101</v>
      </c>
      <c r="D18" s="851">
        <f>SUBTOTAL(9,D15:D17)</f>
        <v>302</v>
      </c>
    </row>
    <row r="19" spans="1:4" ht="16.5" customHeight="1" thickTop="1" thickBot="1">
      <c r="A19" s="793" t="str">
        <f>Datos!A19</f>
        <v>TOTAL JURISDICCIONES</v>
      </c>
      <c r="B19" s="798">
        <f>SUBTOTAL(9,B8:B18)</f>
        <v>455</v>
      </c>
      <c r="C19" s="799">
        <f>SUBTOTAL(9,C8:C18)</f>
        <v>535</v>
      </c>
      <c r="D19" s="800">
        <f>SUBTOTAL(9,D8:D18)</f>
        <v>7129</v>
      </c>
    </row>
    <row r="20" spans="1:4" ht="7.5" customHeight="1"/>
    <row r="21" spans="1:4" ht="6" customHeight="1"/>
    <row r="22" spans="1:4">
      <c r="A22" s="391" t="str">
        <f>Criterios!A4</f>
        <v>Fecha Informe: 29 nov. 2024</v>
      </c>
    </row>
    <row r="27" spans="1:4">
      <c r="A27" s="414"/>
    </row>
  </sheetData>
  <sheetProtection algorithmName="SHA-512" hashValue="PEw3ePfIm9gYUmc8ImxNh0D5Vy3Q2pg6Zc6oGUuhIrJANacwqF3u2ZXkZgnaY6rTbvM8UbUDP+Ms96zxr+4MNQ==" saltValue="aI7bpITJRRwmT15FGTeu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BENIDORM</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0.18976631748589848</v>
      </c>
      <c r="C9" s="456">
        <f>IF(ISNUMBER(
   IF(J_V="SI",(Datos!J9-Datos!T9)/Datos!T9,(Datos!J9+Datos!Z9-(Datos!T9+Datos!AH9))/(Datos!T9+Datos!AH9))
     ),IF(J_V="SI",(Datos!J9-Datos!T9)/Datos!T9,(Datos!J9+Datos!Z9-(Datos!T9+Datos!AH9))/(Datos!T9+Datos!AH9))," - ")</f>
        <v>-8.6805555555555559E-3</v>
      </c>
      <c r="D9" s="456">
        <f>IF(ISNUMBER(
   IF(J_V="SI",(Datos!K9-Datos!U9)/Datos!U9,(Datos!K9+Datos!AA9-(Datos!U9+Datos!AI9))/(Datos!U9+Datos!AI9))
     ),IF(J_V="SI",(Datos!K9-Datos!U9)/Datos!U9,(Datos!K9+Datos!AA9-(Datos!U9+Datos!AI9))/(Datos!U9+Datos!AI9))," - ")</f>
        <v>-0.34845132743362833</v>
      </c>
      <c r="E9" s="456">
        <f>IF(ISNUMBER(
   IF(J_V="SI",(Datos!L9-Datos!V9)/Datos!V9,(Datos!L9+Datos!AB9-(Datos!V9+Datos!AJ9))/(Datos!V9+Datos!AJ9))
     ),IF(J_V="SI",(Datos!L9-Datos!V9)/Datos!V9,(Datos!L9+Datos!AB9-(Datos!V9+Datos!AJ9))/(Datos!V9+Datos!AJ9))," - ")</f>
        <v>0.15492200107584722</v>
      </c>
      <c r="F9" s="456">
        <f>IF(ISNUMBER((Datos!M9-Datos!W9)/Datos!W9),(Datos!M9-Datos!W9)/Datos!W9," - ")</f>
        <v>-7.621951219512195E-2</v>
      </c>
      <c r="G9" s="457">
        <f>IF(ISNUMBER((Datos!N9-Datos!X9)/Datos!X9),(Datos!N9-Datos!X9)/Datos!X9," - ")</f>
        <v>-0.44305381727158949</v>
      </c>
      <c r="H9" s="455">
        <f>IF(ISNUMBER(((NºAsuntos!G9/NºAsuntos!E9)-Datos!BD9)/Datos!BD9),((NºAsuntos!G9/NºAsuntos!E9)-Datos!BD9)/Datos!BD9," - ")</f>
        <v>-0.34274599755126073</v>
      </c>
      <c r="I9" s="456">
        <f>IF(ISNUMBER(((NºAsuntos!I9/NºAsuntos!G9)-Datos!BE9)/Datos!BE9),((NºAsuntos!I9/NºAsuntos!G9)-Datos!BE9)/Datos!BE9," - ")</f>
        <v>0.77257977754255658</v>
      </c>
      <c r="J9" s="461">
        <f>IF(ISNUMBER((('Resol  Asuntos'!D9/NºAsuntos!G9)-Datos!BF9)/Datos!BF9),(('Resol  Asuntos'!D9/NºAsuntos!G9)-Datos!BF9)/Datos!BF9," - ")</f>
        <v>-0.41796515593558164</v>
      </c>
      <c r="K9" s="462">
        <f>IF(ISNUMBER((((NºAsuntos!C9+NºAsuntos!E9)/NºAsuntos!G9)-Datos!BG9)/Datos!BG9),(((NºAsuntos!C9+NºAsuntos!E9)/NºAsuntos!G9)-Datos!BG9)/Datos!BG9," - ")</f>
        <v>0.74741144939552284</v>
      </c>
    </row>
    <row r="10" spans="1:11">
      <c r="A10" s="402" t="str">
        <f>Datos!A10</f>
        <v>Jdos. Violencia contra la mujer</v>
      </c>
      <c r="B10" s="455">
        <f>IF(ISNUMBER((Datos!I10-Datos!S10)/Datos!S10),(Datos!I10-Datos!S10)/Datos!S10," - ")</f>
        <v>0.96153846153846156</v>
      </c>
      <c r="C10" s="456">
        <f>IF(ISNUMBER((Datos!J10-Datos!T10)/Datos!T10),(Datos!J10-Datos!T10)/Datos!T10," - ")</f>
        <v>0.16666666666666666</v>
      </c>
      <c r="D10" s="456">
        <f>IF(ISNUMBER((Datos!K10-Datos!U10)/Datos!U10),(Datos!K10-Datos!U10)/Datos!U10," - ")</f>
        <v>-0.04</v>
      </c>
      <c r="E10" s="456">
        <f>IF(ISNUMBER((Datos!L10-Datos!V10)/Datos!V10),(Datos!L10-Datos!V10)/Datos!V10," - ")</f>
        <v>1.0784313725490196</v>
      </c>
      <c r="F10" s="456">
        <f>IF(ISNUMBER((Datos!M10-Datos!W10)/Datos!W10),(Datos!M10-Datos!W10)/Datos!W10," - ")</f>
        <v>1.2</v>
      </c>
      <c r="G10" s="457">
        <f>IF(ISNUMBER((Datos!N10-Datos!X10)/Datos!X10),(Datos!N10-Datos!X10)/Datos!X10," - ")</f>
        <v>-0.14285714285714285</v>
      </c>
      <c r="H10" s="455">
        <f>IF(ISNUMBER(((NºAsuntos!G10/NºAsuntos!E10)-Datos!BD10)/Datos!BD10),((NºAsuntos!G10/NºAsuntos!E10)-Datos!BD10)/Datos!BD10," - ")</f>
        <v>-0.17714285714285724</v>
      </c>
      <c r="I10" s="456">
        <f>IF(ISNUMBER(((NºAsuntos!I10/NºAsuntos!G10)-Datos!BE10)/Datos!BE10),((NºAsuntos!I10/NºAsuntos!G10)-Datos!BE10)/Datos!BE10," - ")</f>
        <v>1.1650326797385622</v>
      </c>
      <c r="J10" s="461">
        <f>IF(ISNUMBER((('Resol  Asuntos'!D10/NºAsuntos!G10)-Datos!BF10)/Datos!BF10),(('Resol  Asuntos'!D10/NºAsuntos!G10)-Datos!BF10)/Datos!BF10," - ")</f>
        <v>1.2916666666666665</v>
      </c>
      <c r="K10" s="462">
        <f>IF(ISNUMBER((((NºAsuntos!C10+NºAsuntos!E10)/NºAsuntos!G10)-Datos!BG10)/Datos!BG10),(((NºAsuntos!C10+NºAsuntos!E10)/NºAsuntos!G10)-Datos!BG10)/Datos!BG10," - ")</f>
        <v>0.78179824561403521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-0.5</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0.19768832204065365</v>
      </c>
      <c r="C13" s="855">
        <f>IF(ISNUMBER(
   IF(J_V="SI",(Datos!J13-Datos!T13)/Datos!T13,(Datos!J13+Datos!Z13-(Datos!T13+Datos!AH13))/(Datos!T13+Datos!AH13))
     ),IF(J_V="SI",(Datos!J13-Datos!T13)/Datos!T13,(Datos!J13+Datos!Z13-(Datos!T13+Datos!AH13))/(Datos!T13+Datos!AH13))," - ")</f>
        <v>-6.2785388127853878E-3</v>
      </c>
      <c r="D13" s="855">
        <f>IF(ISNUMBER(
   IF(J_V="SI",(Datos!K13-Datos!U13)/Datos!U13,(Datos!K13+Datos!AA13-(Datos!U13+Datos!AI13))/(Datos!U13+Datos!AI13))
     ),IF(J_V="SI",(Datos!K13-Datos!U13)/Datos!U13,(Datos!K13+Datos!AA13-(Datos!U13+Datos!AI13))/(Datos!U13+Datos!AI13))," - ")</f>
        <v>-0.34369885433715219</v>
      </c>
      <c r="E13" s="855">
        <f>IF(ISNUMBER(
   IF(J_V="SI",(Datos!L13-Datos!V13)/Datos!V13,(Datos!L13+Datos!AB13-(Datos!V13+Datos!AJ13))/(Datos!V13+Datos!AJ13))
     ),IF(J_V="SI",(Datos!L13-Datos!V13)/Datos!V13,(Datos!L13+Datos!AB13-(Datos!V13+Datos!AJ13))/(Datos!V13+Datos!AJ13))," - ")</f>
        <v>0.16305506216696269</v>
      </c>
      <c r="F13" s="856">
        <f>IF(ISNUMBER((Datos!M13-Datos!W13)/Datos!W13),(Datos!M13-Datos!W13)/Datos!W13," - ")</f>
        <v>-5.4054054054054057E-2</v>
      </c>
      <c r="G13" s="857">
        <f>IF(ISNUMBER((Datos!N13-Datos!X13)/Datos!X13),(Datos!N13-Datos!X13)/Datos!X13," - ")</f>
        <v>-0.43920595533498757</v>
      </c>
      <c r="H13" s="857">
        <f>IF(ISNUMBER(((NºAsuntos!G13/NºAsuntos!E13)-Datos!BD13)/Datos!BD13),((NºAsuntos!G13/NºAsuntos!E13)-Datos!BD13)/Datos!BD13," - ")</f>
        <v>-0.3395522072364679</v>
      </c>
      <c r="I13" s="857">
        <f>IF(ISNUMBER(((NºAsuntos!I13/NºAsuntos!G13)-Datos!BE13)/Datos!BE13),((NºAsuntos!I13/NºAsuntos!G13)-Datos!BE13)/Datos!BE13," - ")</f>
        <v>0.77213626679305303</v>
      </c>
      <c r="J13" s="857">
        <f>IF(ISNUMBER((('Resol  Asuntos'!D13/NºAsuntos!G13)-Datos!BF13)/Datos!BF13),(('Resol  Asuntos'!D13/NºAsuntos!G13)-Datos!BF13)/Datos!BF13," - ")</f>
        <v>-0.40303160010421707</v>
      </c>
      <c r="K13" s="857">
        <f>IF(ISNUMBER((((NºAsuntos!C13+NºAsuntos!E13)/NºAsuntos!G13)-Datos!BG13)/Datos!BG13),(((NºAsuntos!C13+NºAsuntos!E13)/NºAsuntos!G13)-Datos!BG13)/Datos!BG13," - ")</f>
        <v>0.74447964284267198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0.21135781383432964</v>
      </c>
      <c r="C15" s="456">
        <f>IF(ISNUMBER(
   IF(D_I="SI",(Datos!J15-Datos!T15)/Datos!T15,(Datos!J15+Datos!AD15-(Datos!T15+Datos!AL15))/(Datos!T15+Datos!AL15))
     ),IF(D_I="SI",(Datos!J15-Datos!T15)/Datos!T15,(Datos!J15+Datos!AD15-(Datos!T15+Datos!AL15))/(Datos!T15+Datos!AL15))," - ")</f>
        <v>0.30812641083521447</v>
      </c>
      <c r="D15" s="456">
        <f>IF(ISNUMBER(
   IF(D_I="SI",(Datos!K15-Datos!U15)/Datos!U15,(Datos!K15+Datos!AE15-(Datos!U15+Datos!AM15))/(Datos!U15+Datos!AM15))
     ),IF(D_I="SI",(Datos!K15-Datos!U15)/Datos!U15,(Datos!K15+Datos!AE15-(Datos!U15+Datos!AM15))/(Datos!U15+Datos!AM15))," - ")</f>
        <v>5.8700209643605873E-2</v>
      </c>
      <c r="E15" s="456">
        <f>IF(ISNUMBER(
   IF(D_I="SI",(Datos!L15-Datos!V15)/Datos!V15,(Datos!L15+Datos!AF15-(Datos!V15+Datos!AN15))/(Datos!V15+Datos!AN15))
     ),IF(D_I="SI",(Datos!L15-Datos!V15)/Datos!V15,(Datos!L15+Datos!AF15-(Datos!V15+Datos!AN15))/(Datos!V15+Datos!AN15))," - ")</f>
        <v>0.35886402753872632</v>
      </c>
      <c r="F15" s="456">
        <f>IF(ISNUMBER((Datos!M15-Datos!W15)/Datos!W15),(Datos!M15-Datos!W15)/Datos!W15," - ")</f>
        <v>6.6901408450704219E-2</v>
      </c>
      <c r="G15" s="457">
        <f>IF(ISNUMBER((Datos!N15-Datos!X15)/Datos!X15),(Datos!N15-Datos!X15)/Datos!X15," - ")</f>
        <v>2.4413145539906103E-2</v>
      </c>
      <c r="H15" s="455">
        <f>IF(ISNUMBER(((NºAsuntos!G15/NºAsuntos!E15)-Datos!BD15)/Datos!BD15),((NºAsuntos!G15/NºAsuntos!E15)-Datos!BD15)/Datos!BD15," - ")</f>
        <v>-0.19067438676079826</v>
      </c>
      <c r="I15" s="456">
        <f>IF(ISNUMBER(((NºAsuntos!I15/NºAsuntos!G15)-Datos!BE15)/Datos!BE15),((NºAsuntos!I15/NºAsuntos!G15)-Datos!BE15)/Datos!BE15," - ")</f>
        <v>0.28352107155638112</v>
      </c>
      <c r="J15" s="461">
        <f>IF(ISNUMBER((('Resol  Asuntos'!D15/NºAsuntos!G15)-Datos!BF15)/Datos!BF15),(('Resol  Asuntos'!D15/NºAsuntos!G15)-Datos!BF15)/Datos!BF15," - ")</f>
        <v>7.7464788732393101E-3</v>
      </c>
      <c r="K15" s="462">
        <f>IF(ISNUMBER((((NºAsuntos!C15+NºAsuntos!E15)/NºAsuntos!G15)-Datos!BG15)/Datos!BG15),(((NºAsuntos!C15+NºAsuntos!E15)/NºAsuntos!G15)-Datos!BG15)/Datos!BG15," - ")</f>
        <v>0.18356300870728787</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0.72258064516129028</v>
      </c>
      <c r="C17" s="456">
        <f>IF(ISNUMBER(
   IF(D_I="SI",(Datos!J17-Datos!T17)/Datos!T17,(Datos!J17+Datos!AD17-(Datos!T17+Datos!AL17))/(Datos!T17+Datos!AL17))
     ),IF(D_I="SI",(Datos!J17-Datos!T17)/Datos!T17,(Datos!J17+Datos!AD17-(Datos!T17+Datos!AL17))/(Datos!T17+Datos!AL17))," - ")</f>
        <v>9.1928251121076235E-2</v>
      </c>
      <c r="D17" s="456">
        <f>IF(ISNUMBER(
   IF(D_I="SI",(Datos!K17-Datos!U17)/Datos!U17,(Datos!K17+Datos!AE17-(Datos!U17+Datos!AM17))/(Datos!U17+Datos!AM17))
     ),IF(D_I="SI",(Datos!K17-Datos!U17)/Datos!U17,(Datos!K17+Datos!AE17-(Datos!U17+Datos!AM17))/(Datos!U17+Datos!AM17))," - ")</f>
        <v>0.10757946210268948</v>
      </c>
      <c r="E17" s="456">
        <f>IF(ISNUMBER(
   IF(D_I="SI",(Datos!L17-Datos!V17)/Datos!V17,(Datos!L17+Datos!AF17-(Datos!V17+Datos!AN17))/(Datos!V17+Datos!AN17))
     ),IF(D_I="SI",(Datos!L17-Datos!V17)/Datos!V17,(Datos!L17+Datos!AF17-(Datos!V17+Datos!AN17))/(Datos!V17+Datos!AN17))," - ")</f>
        <v>0.56770833333333337</v>
      </c>
      <c r="F17" s="456">
        <f>IF(ISNUMBER((Datos!M17-Datos!W17)/Datos!W17),(Datos!M17-Datos!W17)/Datos!W17," - ")</f>
        <v>-7.0175438596491224E-2</v>
      </c>
      <c r="G17" s="457">
        <f>IF(ISNUMBER((Datos!N17-Datos!X17)/Datos!X17),(Datos!N17-Datos!X17)/Datos!X17," - ")</f>
        <v>0.37662337662337664</v>
      </c>
      <c r="H17" s="455">
        <f>IF(ISNUMBER(((NºAsuntos!G17/NºAsuntos!E17)-Datos!BD17)/Datos!BD17),((NºAsuntos!G17/NºAsuntos!E17)-Datos!BD17)/Datos!BD17," - ")</f>
        <v>1.4333552562216635E-2</v>
      </c>
      <c r="I17" s="456">
        <f>IF(ISNUMBER(((NºAsuntos!I17/NºAsuntos!G17)-Datos!BE17)/Datos!BE17),((NºAsuntos!I17/NºAsuntos!G17)-Datos!BE17)/Datos!BE17," - ")</f>
        <v>0.41543644223693882</v>
      </c>
      <c r="J17" s="461">
        <f>IF(ISNUMBER((('Resol  Asuntos'!D17/NºAsuntos!G17)-Datos!BF17)/Datos!BF17),(('Resol  Asuntos'!D17/NºAsuntos!G17)-Datos!BF17)/Datos!BF17," - ")</f>
        <v>-0.16048952403082764</v>
      </c>
      <c r="K17" s="462">
        <f>IF(ISNUMBER((((NºAsuntos!C17+NºAsuntos!E17)/NºAsuntos!G17)-Datos!BG17)/Datos!BG17),(((NºAsuntos!C17+NºAsuntos!E17)/NºAsuntos!G17)-Datos!BG17)/Datos!BG17," - ")</f>
        <v>0.13271846407569438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0.24289715886354543</v>
      </c>
      <c r="C18" s="855">
        <f>IF(ISNUMBER(
   IF(Criterios!B14="SI",(Datos!J18-Datos!T18)/Datos!T18,(Datos!J18+Datos!AD18-(Datos!T18+Datos!AL18))/(Datos!T18+Datos!AL18))
     ),IF(Criterios!B14="SI",(Datos!J18-Datos!T18)/Datos!T18,(Datos!J18+Datos!AD18-(Datos!T18+Datos!AL18))/(Datos!T18+Datos!AL18))," - ")</f>
        <v>0.26465284039675385</v>
      </c>
      <c r="D18" s="855">
        <f>IF(ISNUMBER(
   IF(Criterios!B14="SI",(Datos!K18-Datos!U18)/Datos!U18,(Datos!K18+Datos!AE18-(Datos!U18+Datos!AM18))/(Datos!U18+Datos!AM18))
     ),IF(Criterios!B14="SI",(Datos!K18-Datos!U18)/Datos!U18,(Datos!K18+Datos!AE18-(Datos!U18+Datos!AM18))/(Datos!U18+Datos!AM18))," - ")</f>
        <v>6.7328441950798443E-2</v>
      </c>
      <c r="E18" s="855">
        <f>IF(ISNUMBER(
   IF(Criterios!B14="SI",(Datos!L18-Datos!V18)/Datos!V18,(Datos!L18+Datos!AF18-(Datos!V18+Datos!AN18))/(Datos!V18+Datos!AN18))
     ),IF(Criterios!B14="SI",(Datos!L18-Datos!V18)/Datos!V18,(Datos!L18+Datos!AF18-(Datos!V18+Datos!AN18))/(Datos!V18+Datos!AN18))," - ")</f>
        <v>0.37450357426528991</v>
      </c>
      <c r="F18" s="856">
        <f>IF(ISNUMBER((Datos!M18-Datos!W18)/Datos!W18),(Datos!M18-Datos!W18)/Datos!W18," - ")</f>
        <v>4.398826979472141E-2</v>
      </c>
      <c r="G18" s="857">
        <f>IF(ISNUMBER((Datos!N18-Datos!X18)/Datos!X18),(Datos!N18-Datos!X18)/Datos!X18," - ")</f>
        <v>6.8908941755537328E-2</v>
      </c>
      <c r="H18" s="857">
        <f>IF(ISNUMBER(((NºAsuntos!G18/NºAsuntos!E18)-Datos!BD18)/Datos!BD18),((NºAsuntos!G18/NºAsuntos!E18)-Datos!BD18)/Datos!BD18," - ")</f>
        <v>-0.15603048689951132</v>
      </c>
      <c r="I18" s="857">
        <f>IF(ISNUMBER(((NºAsuntos!I18/NºAsuntos!G18)-Datos!BE18)/Datos!BE18),((NºAsuntos!I18/NºAsuntos!G18)-Datos!BE18)/Datos!BE18," - ")</f>
        <v>0.28779813245963493</v>
      </c>
      <c r="J18" s="857">
        <f>IF(ISNUMBER((('Resol  Asuntos'!D18/NºAsuntos!G18)-Datos!BF18)/Datos!BF18),(('Resol  Asuntos'!D18/NºAsuntos!G18)-Datos!BF18)/Datos!BF18," - ")</f>
        <v>-2.1867844272394143E-2</v>
      </c>
      <c r="K18" s="857">
        <f>IF(ISNUMBER((((NºAsuntos!C18+NºAsuntos!E18)/NºAsuntos!G18)-Datos!BG18)/Datos!BG18),(((NºAsuntos!C18+NºAsuntos!E18)/NºAsuntos!G18)-Datos!BG18)/Datos!BG18," - ")</f>
        <v>0.17407813587508286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0.21271783956365573</v>
      </c>
      <c r="C19" s="802">
        <f>IF(ISNUMBER(
   IF(J_V="SI",(Datos!J19-Datos!T19)/Datos!T19,(Datos!J19+Datos!Z19-(Datos!T19+Datos!AH19))/(Datos!T19+Datos!AH19))
     ),IF(J_V="SI",(Datos!J19-Datos!T19)/Datos!T19,(Datos!J19+Datos!Z19-(Datos!T19+Datos!AH19))/(Datos!T19+Datos!AH19))," - ")</f>
        <v>0.14508816120906801</v>
      </c>
      <c r="D19" s="802">
        <f>IF(ISNUMBER(
   IF(J_V="SI",(Datos!K19-Datos!U19)/Datos!U19,(Datos!K19+Datos!AA19-(Datos!U19+Datos!AI19))/(Datos!U19+Datos!AI19))
     ),IF(J_V="SI",(Datos!K19-Datos!U19)/Datos!U19,(Datos!K19+Datos!AA19-(Datos!U19+Datos!AI19))/(Datos!U19+Datos!AI19))," - ")</f>
        <v>-0.11421686746987952</v>
      </c>
      <c r="E19" s="802">
        <f>IF(ISNUMBER(
   IF(J_V="SI",(Datos!L19-Datos!V19)/Datos!V19,(Datos!L19+Datos!AB19-(Datos!V19+Datos!AJ19))/(Datos!V19+Datos!AJ19))
     ),IF(J_V="SI",(Datos!L19-Datos!V19)/Datos!V19,(Datos!L19+Datos!AB19-(Datos!V19+Datos!AJ19))/(Datos!V19+Datos!AJ19))," - ")</f>
        <v>0.22839960726558664</v>
      </c>
      <c r="F19" s="803">
        <f>IF(ISNUMBER((Datos!M19-Datos!W19)/Datos!W19),(Datos!M19-Datos!W19)/Datos!W19," - ")</f>
        <v>-4.4510385756676559E-3</v>
      </c>
      <c r="G19" s="804">
        <f>IF(ISNUMBER((Datos!N19-Datos!X19)/Datos!X19),(Datos!N19-Datos!X19)/Datos!X19," - ")</f>
        <v>-0.13333333333333333</v>
      </c>
      <c r="H19" s="805">
        <f>IF(ISNUMBER((Tasas!B19-Datos!BD19)/Datos!BD19),(Tasas!B19-Datos!BD19)/Datos!BD19," - ")</f>
        <v>-0.22644983806762475</v>
      </c>
      <c r="I19" s="806">
        <f>IF(ISNUMBER((Tasas!C19-Datos!BE19)/Datos!BE19),(Tasas!C19-Datos!BE19)/Datos!BE19," - ")</f>
        <v>0.38679498643965865</v>
      </c>
      <c r="J19" s="807">
        <f>IF(ISNUMBER((Tasas!D19-Datos!BF19)/Datos!BF19),(Tasas!D19-Datos!BF19)/Datos!BF19," - ")</f>
        <v>-0.33840894079857076</v>
      </c>
      <c r="K19" s="807">
        <f>IF(ISNUMBER((Tasas!E19-Datos!BG19)/Datos!BG19),(Tasas!E19-Datos!BG19)/Datos!BG19," - ")</f>
        <v>0.34270391102095532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eav6CI/sh1VciQ0E7M7tqkLdOstuwjqIPW3FzIpT3r3eoXOmt9fXePeCQwEvBd4WuaohtQqfNDS3cvYSiy3Ig==" saltValue="D4WM/SeKn4ESjc2yximU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BENIDORM</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0.68768242848803274</v>
      </c>
      <c r="C9" s="443">
        <f>IF(ISNUMBER(NºAsuntos!I9/NºAsuntos!G9),NºAsuntos!I9/NºAsuntos!G9," - ")</f>
        <v>5.467741935483871</v>
      </c>
      <c r="D9" s="444">
        <f>IF(ISNUMBER('Resol  Asuntos'!D9/NºAsuntos!G9),'Resol  Asuntos'!D9/NºAsuntos!G9," - ")</f>
        <v>0.25721561969439727</v>
      </c>
      <c r="E9" s="445">
        <f>IF(ISNUMBER((NºAsuntos!C9+NºAsuntos!E9)/NºAsuntos!G9),(NºAsuntos!C9+NºAsuntos!E9)/NºAsuntos!G9," - ")</f>
        <v>6.467741935483871</v>
      </c>
      <c r="G9" s="463"/>
    </row>
    <row r="10" spans="1:7">
      <c r="A10" s="402" t="str">
        <f>Datos!A10</f>
        <v>Jdos. Violencia contra la mujer</v>
      </c>
      <c r="B10" s="442">
        <f>IF(ISNUMBER(NºAsuntos!G10/NºAsuntos!E10),NºAsuntos!G10/NºAsuntos!E10," - ")</f>
        <v>0.8571428571428571</v>
      </c>
      <c r="C10" s="443">
        <f>IF(ISNUMBER(NºAsuntos!I10/NºAsuntos!G10),NºAsuntos!I10/NºAsuntos!G10," - ")</f>
        <v>4.416666666666667</v>
      </c>
      <c r="D10" s="444">
        <f>IF(ISNUMBER('Resol  Asuntos'!D10/NºAsuntos!G10),'Resol  Asuntos'!D10/NºAsuntos!G10," - ")</f>
        <v>0.45833333333333331</v>
      </c>
      <c r="E10" s="445">
        <f>IF(ISNUMBER((NºAsuntos!C10+NºAsuntos!E10)/NºAsuntos!G10),(NºAsuntos!C10+NºAsuntos!E10)/NºAsuntos!G10," - ")</f>
        <v>5.416666666666667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f>IF(ISNUMBER(NºAsuntos!I12/NºAsuntos!G12),NºAsuntos!I12/NºAsuntos!G12," - ")</f>
        <v>1</v>
      </c>
      <c r="D12" s="444">
        <f>IF(ISNUMBER('Resol  Asuntos'!D12/NºAsuntos!G12),'Resol  Asuntos'!D12/NºAsuntos!G12," - ")</f>
        <v>1</v>
      </c>
      <c r="E12" s="445">
        <f>IF(ISNUMBER((NºAsuntos!C12+NºAsuntos!E12)/NºAsuntos!G12),(NºAsuntos!C12+NºAsuntos!E12)/NºAsuntos!G12," - ")</f>
        <v>2</v>
      </c>
      <c r="G12" s="463"/>
    </row>
    <row r="13" spans="1:7" ht="14.25" thickTop="1" thickBot="1">
      <c r="A13" s="848" t="str">
        <f>Datos!A13</f>
        <v>TOTAL</v>
      </c>
      <c r="B13" s="858">
        <f>IF(ISNUMBER(NºAsuntos!G13/NºAsuntos!E13),NºAsuntos!G13/NºAsuntos!E13," - ")</f>
        <v>0.69098219414129813</v>
      </c>
      <c r="C13" s="859">
        <f>IF(ISNUMBER(NºAsuntos!I13/NºAsuntos!G13),NºAsuntos!I13/NºAsuntos!G13," - ")</f>
        <v>5.4430590191188699</v>
      </c>
      <c r="D13" s="860">
        <f>IF(ISNUMBER('Resol  Asuntos'!D13/NºAsuntos!G13),'Resol  Asuntos'!D13/NºAsuntos!G13," - ")</f>
        <v>0.26184538653366585</v>
      </c>
      <c r="E13" s="861">
        <f>IF(ISNUMBER((NºAsuntos!C13+NºAsuntos!E13)/NºAsuntos!G13),(NºAsuntos!C13+NºAsuntos!E13)/NºAsuntos!G13," - ")</f>
        <v>6.4430590191188699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0.87144089732528041</v>
      </c>
      <c r="C15" s="443">
        <f>IF(ISNUMBER(NºAsuntos!I15/NºAsuntos!G15),NºAsuntos!I15/NºAsuntos!G15," - ")</f>
        <v>1.5633663366336634</v>
      </c>
      <c r="D15" s="444">
        <f>IF(ISNUMBER('Resol  Asuntos'!D15/NºAsuntos!G15),'Resol  Asuntos'!D15/NºAsuntos!G15," - ")</f>
        <v>0.15</v>
      </c>
      <c r="E15" s="445">
        <f>IF(ISNUMBER((NºAsuntos!C15+NºAsuntos!E15)/NºAsuntos!G15),(NºAsuntos!C15+NºAsuntos!E15)/NºAsuntos!G15," - ")</f>
        <v>2.5519801980198018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0.93018480492813138</v>
      </c>
      <c r="C17" s="443">
        <f>IF(ISNUMBER(NºAsuntos!I17/NºAsuntos!G17),NºAsuntos!I17/NºAsuntos!G17," - ")</f>
        <v>0.66445916114790282</v>
      </c>
      <c r="D17" s="444">
        <f>IF(ISNUMBER('Resol  Asuntos'!D17/NºAsuntos!G17),'Resol  Asuntos'!D17/NºAsuntos!G17," - ")</f>
        <v>0.11699779249448124</v>
      </c>
      <c r="E17" s="445">
        <f>IF(ISNUMBER((NºAsuntos!C17+NºAsuntos!E17)/NºAsuntos!G17),(NºAsuntos!C17+NºAsuntos!E17)/NºAsuntos!G17," - ")</f>
        <v>1.6644591611479029</v>
      </c>
      <c r="G17" s="463"/>
    </row>
    <row r="18" spans="1:7" ht="14.25" thickTop="1" thickBot="1">
      <c r="A18" s="848" t="str">
        <f>Datos!A18</f>
        <v>TOTAL</v>
      </c>
      <c r="B18" s="858">
        <f>IF(ISNUMBER(NºAsuntos!G18/NºAsuntos!E18),NºAsuntos!G18/NºAsuntos!E18," - ")</f>
        <v>0.88163992869875218</v>
      </c>
      <c r="C18" s="859">
        <f>IF(ISNUMBER(NºAsuntos!I18/NºAsuntos!G18),NºAsuntos!I18/NºAsuntos!G18," - ")</f>
        <v>1.3995147594015367</v>
      </c>
      <c r="D18" s="862">
        <f>IF(ISNUMBER('Resol  Asuntos'!D18/NºAsuntos!G18),'Resol  Asuntos'!D18/NºAsuntos!G18," - ")</f>
        <v>0.14395471087747674</v>
      </c>
      <c r="E18" s="861">
        <f>IF(ISNUMBER((NºAsuntos!C18+NºAsuntos!E18)/NºAsuntos!G18),(NºAsuntos!C18+NºAsuntos!E18)/NºAsuntos!G18," - ")</f>
        <v>2.3902143145976549</v>
      </c>
      <c r="G18" s="463"/>
    </row>
    <row r="19" spans="1:7" ht="15.75" customHeight="1" thickTop="1" thickBot="1">
      <c r="A19" s="793" t="str">
        <f>Datos!A19</f>
        <v>TOTAL JURISDICCIONES</v>
      </c>
      <c r="B19" s="808">
        <f>IF(ISNUMBER(NºAsuntos!G19/NºAsuntos!E19),NºAsuntos!G19/NºAsuntos!E19," - ")</f>
        <v>0.80862296524417066</v>
      </c>
      <c r="C19" s="809">
        <f>IF(ISNUMBER(NºAsuntos!I19/NºAsuntos!G19),NºAsuntos!I19/NºAsuntos!G19," - ")</f>
        <v>2.7227965179542983</v>
      </c>
      <c r="D19" s="810">
        <f>IF(ISNUMBER('Resol  Asuntos'!D19/NºAsuntos!G19),'Resol  Asuntos'!D19/NºAsuntos!G19," - ")</f>
        <v>0.18253536452665942</v>
      </c>
      <c r="E19" s="811">
        <f>IF(ISNUMBER((NºAsuntos!C19+NºAsuntos!E19)/NºAsuntos!G19),(NºAsuntos!C19+NºAsuntos!E19)/NºAsuntos!G19," - ")</f>
        <v>3.7165397170837866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vpKufEQqUt6uh3YR7aChq86/othE/T+Lt6La94OihSzO5fqByIoaPlvOuR5LoAJiYbzy7obSIPA1as2bStjg==" saltValue="fSo0XDYRbGDUDAnEZKtS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BENIDORM</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364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422</v>
      </c>
      <c r="Y9" s="334">
        <f>SUM(W9:X9)</f>
        <v>422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6753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303</v>
      </c>
      <c r="AJ9" s="229" t="str">
        <f>IF(ISNUMBER(Datos!BW9),Datos!BW9," - ")</f>
        <v xml:space="preserve"> - </v>
      </c>
      <c r="AK9" s="228" t="str">
        <f>IF(ISNUMBER(Datos!BX9),Datos!BX9," - ")</f>
        <v xml:space="preserve"> - </v>
      </c>
      <c r="AL9" s="243">
        <f>IF(ISNUMBER(NºAsuntos!G9/NºAsuntos!E9),NºAsuntos!G9/NºAsuntos!E9," - ")</f>
        <v>0.68768242848803274</v>
      </c>
      <c r="AM9" s="260">
        <f>IF(ISNUMBER(((NºAsuntos!I9/NºAsuntos!G9)*11)/factor_trimestre),((NºAsuntos!I9/NºAsuntos!G9)*11)/factor_trimestre," - ")</f>
        <v>10.935483870967742</v>
      </c>
      <c r="AN9" s="244">
        <f>IF(ISNUMBER('Resol  Asuntos'!D9/NºAsuntos!G9),'Resol  Asuntos'!D9/NºAsuntos!G9," - ")</f>
        <v>0.25721561969439727</v>
      </c>
      <c r="AO9" s="245">
        <f>IF(ISNUMBER((NºAsuntos!C9+NºAsuntos!E9)/NºAsuntos!G9),(NºAsuntos!C9+NºAsuntos!E9)/NºAsuntos!G9," - ")</f>
        <v>6.467741935483871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102</v>
      </c>
      <c r="G10" s="333">
        <f>IF(ISNUMBER(Datos!I10),Datos!I10," - ")</f>
        <v>102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10</v>
      </c>
      <c r="Y10" s="334">
        <f t="shared" ref="Y10:Y12" si="0">SUM(W10:X10)</f>
        <v>34</v>
      </c>
      <c r="Z10" s="335" t="str">
        <f>IF(ISNUMBER(Datos!CC10),Datos!CC10," - ")</f>
        <v xml:space="preserve"> - </v>
      </c>
      <c r="AA10" s="332">
        <f>IF(ISNUMBER(Datos!L10),Datos!L10,"-")</f>
        <v>106</v>
      </c>
      <c r="AB10" s="334">
        <f>IF(ISNUMBER(Datos!R10),Datos!R10," - ")</f>
        <v>41</v>
      </c>
      <c r="AC10" s="334">
        <f t="shared" ref="AC10:AC12" si="1">IF(ISNUMBER(AA10+AB10),AA10+AB10," - ")</f>
        <v>147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8.8333333333333339</v>
      </c>
      <c r="AN10" s="244">
        <f>IF(ISNUMBER('Resol  Asuntos'!D10/NºAsuntos!G10),'Resol  Asuntos'!D10/NºAsuntos!G10," - ")</f>
        <v>0.45833333333333331</v>
      </c>
      <c r="AO10" s="245">
        <f>IF(ISNUMBER((NºAsuntos!C10+NºAsuntos!E10)/NºAsuntos!G10),(NºAsuntos!C10+NºAsuntos!E10)/NºAsuntos!G10," - ")</f>
        <v>5.416666666666667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v>
      </c>
      <c r="AJ12" s="229" t="str">
        <f>IF(ISNUMBER(Datos!BW12),Datos!BW12," - ")</f>
        <v xml:space="preserve"> - </v>
      </c>
      <c r="AK12" s="228" t="str">
        <f>IF(ISNUMBER(Datos!BX12),Datos!BX12," - ")</f>
        <v xml:space="preserve"> - </v>
      </c>
      <c r="AL12" s="243" t="str">
        <f>IF(ISNUMBER(NºAsuntos!G12/NºAsuntos!E12),NºAsuntos!G12/NºAsuntos!E12," - ")</f>
        <v xml:space="preserve"> - </v>
      </c>
      <c r="AM12" s="260">
        <f>IF(ISNUMBER(((NºAsuntos!I12/NºAsuntos!G12)*11)/factor_trimestre),((NºAsuntos!I12/NºAsuntos!G12)*11)/factor_trimestre," - ")</f>
        <v>2</v>
      </c>
      <c r="AN12" s="244">
        <f>IF(ISNUMBER('Resol  Asuntos'!D12/NºAsuntos!G12),'Resol  Asuntos'!D12/NºAsuntos!G12," - ")</f>
        <v>1</v>
      </c>
      <c r="AO12" s="245">
        <f>IF(ISNUMBER((NºAsuntos!C12+NºAsuntos!E12)/NºAsuntos!G12),(NºAsuntos!C12+NºAsuntos!E12)/NºAsuntos!G12," - ")</f>
        <v>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102</v>
      </c>
      <c r="G13" s="866">
        <f t="shared" si="3"/>
        <v>102</v>
      </c>
      <c r="H13" s="865">
        <f t="shared" si="3"/>
        <v>0</v>
      </c>
      <c r="I13" s="867">
        <f t="shared" si="3"/>
        <v>0</v>
      </c>
      <c r="J13" s="867">
        <f t="shared" si="3"/>
        <v>0</v>
      </c>
      <c r="K13" s="867">
        <f t="shared" si="3"/>
        <v>0</v>
      </c>
      <c r="L13" s="867">
        <f t="shared" si="3"/>
        <v>366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434</v>
      </c>
      <c r="Y13" s="868">
        <f t="shared" si="4"/>
        <v>458</v>
      </c>
      <c r="Z13" s="868">
        <f t="shared" si="4"/>
        <v>0</v>
      </c>
      <c r="AA13" s="868">
        <f t="shared" si="4"/>
        <v>106</v>
      </c>
      <c r="AB13" s="868">
        <f t="shared" si="4"/>
        <v>6827</v>
      </c>
      <c r="AC13" s="868">
        <f t="shared" si="4"/>
        <v>147</v>
      </c>
      <c r="AD13" s="868">
        <f t="shared" si="4"/>
        <v>0</v>
      </c>
      <c r="AE13" s="872">
        <f t="shared" si="4"/>
        <v>0</v>
      </c>
      <c r="AF13" s="865">
        <f t="shared" si="4"/>
        <v>0</v>
      </c>
      <c r="AG13" s="873">
        <f t="shared" si="4"/>
        <v>0</v>
      </c>
      <c r="AH13" s="870">
        <f t="shared" si="4"/>
        <v>0</v>
      </c>
      <c r="AI13" s="865">
        <f t="shared" si="4"/>
        <v>315</v>
      </c>
      <c r="AJ13" s="867">
        <f t="shared" si="4"/>
        <v>0</v>
      </c>
      <c r="AK13" s="870">
        <f>SUBTOTAL(9,AK9:AK12)</f>
        <v>0</v>
      </c>
      <c r="AL13" s="874">
        <f>IF(ISNUMBER(NºAsuntos!G13/NºAsuntos!E13),NºAsuntos!G13/NºAsuntos!E13," - ")</f>
        <v>0.69098219414129813</v>
      </c>
      <c r="AM13" s="874">
        <f>IF(ISNUMBER(((NºAsuntos!I13/NºAsuntos!G13)*11)/factor_trimestre),((NºAsuntos!I13/NºAsuntos!G13)*11)/factor_trimestre," - ")</f>
        <v>10.88611803823774</v>
      </c>
      <c r="AN13" s="875">
        <f>IF(ISNUMBER('Resol  Asuntos'!D13/NºAsuntos!G13),'Resol  Asuntos'!D13/NºAsuntos!G13," - ")</f>
        <v>0.26184538653366585</v>
      </c>
      <c r="AO13" s="876">
        <f>IF(ISNUMBER((NºAsuntos!C13+NºAsuntos!E13)/NºAsuntos!G13),(NºAsuntos!C13+NºAsuntos!E13)/NºAsuntos!G13," - ")</f>
        <v>6.4430590191188699</v>
      </c>
      <c r="AP13" s="877" t="str">
        <f t="shared" si="2"/>
        <v xml:space="preserve"> - </v>
      </c>
      <c r="AQ13" s="877">
        <f>IF(ISNUMBER((H13-W13+K13)/(F13)),(H13-W13+K13)/(F13)," - ")</f>
        <v>-0.23529411764705882</v>
      </c>
      <c r="AR13" s="878">
        <f>IF(ISNUMBER((Datos!P13-Datos!Q13)/(Datos!R13-Datos!P13+Datos!Q13)),(Datos!P13-Datos!Q13)/(Datos!R13-Datos!P13+Datos!Q13)," - ")</f>
        <v>-9.8622189992748372E-3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2860</v>
      </c>
      <c r="G15" s="333">
        <f>IF(ISNUMBER(IF(D_I="SI",Datos!I15,Datos!I15+Datos!AC15)),IF(D_I="SI",Datos!I15,Datos!I15+Datos!AC15)," - ")</f>
        <v>2837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2020</v>
      </c>
      <c r="X15" s="226">
        <f>IF(ISNUMBER(Datos!Q15),Datos!Q15," - ")</f>
        <v>99</v>
      </c>
      <c r="Y15" s="334">
        <f>SUM(W15)</f>
        <v>2020</v>
      </c>
      <c r="Z15" s="335" t="str">
        <f>IF(ISNUMBER(Datos!CC15),Datos!CC15," - ")</f>
        <v xml:space="preserve"> - </v>
      </c>
      <c r="AA15" s="332">
        <f>IF(ISNUMBER(IF(D_I="SI",Datos!L15,Datos!L15+Datos!AF15)),IF(D_I="SI",Datos!L15,Datos!L15+Datos!AF15)," - ")</f>
        <v>3158</v>
      </c>
      <c r="AB15" s="334">
        <f>IF(ISNUMBER(Datos!R15),Datos!R15," - ")</f>
        <v>296</v>
      </c>
      <c r="AC15" s="334">
        <f t="shared" ref="AC15:AC17" si="6">IF(ISNUMBER(AA15+AB15),AA15+AB15," - ")</f>
        <v>3454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303</v>
      </c>
      <c r="AJ15" s="231" t="str">
        <f>IF(ISNUMBER(Datos!BW15),Datos!BW15," - ")</f>
        <v xml:space="preserve"> - </v>
      </c>
      <c r="AK15" s="232" t="str">
        <f>IF(ISNUMBER(Datos!BX15),Datos!BX15," - ")</f>
        <v xml:space="preserve"> - </v>
      </c>
      <c r="AL15" s="243">
        <f>IF(ISNUMBER(NºAsuntos!G15/NºAsuntos!E15),NºAsuntos!G15/NºAsuntos!E15," - ")</f>
        <v>0.87144089732528041</v>
      </c>
      <c r="AM15" s="260">
        <f>IF(ISNUMBER(((NºAsuntos!I15/NºAsuntos!G15)*11)/factor_trimestre),((NºAsuntos!I15/NºAsuntos!G15)*11)/factor_trimestre," - ")</f>
        <v>3.1267326732673268</v>
      </c>
      <c r="AN15" s="244">
        <f>IF(ISNUMBER('Resol  Asuntos'!D15/NºAsuntos!G15),'Resol  Asuntos'!D15/NºAsuntos!G15," - ")</f>
        <v>0.15</v>
      </c>
      <c r="AO15" s="245">
        <f>IF(ISNUMBER((NºAsuntos!C15+NºAsuntos!E15)/NºAsuntos!G15),(NºAsuntos!C15+NºAsuntos!E15)/NºAsuntos!G15," - ")</f>
        <v>2.5519801980198018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v>
      </c>
      <c r="G16" s="333">
        <f>IF(ISNUMBER(IF(D_I="SI",Datos!I16,Datos!I16+Datos!AC16)),IF(D_I="SI",Datos!I16,Datos!I16+Datos!AC16)," - ")</f>
        <v>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2</v>
      </c>
      <c r="AB16" s="334">
        <f>IF(ISNUMBER(Datos!R16),Datos!R16," - ")</f>
        <v>0</v>
      </c>
      <c r="AC16" s="334">
        <f t="shared" si="6"/>
        <v>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453</v>
      </c>
      <c r="X17" s="226">
        <f>IF(ISNUMBER(Datos!Q17),Datos!Q17," - ")</f>
        <v>2</v>
      </c>
      <c r="Y17" s="334">
        <f t="shared" si="7"/>
        <v>455</v>
      </c>
      <c r="Z17" s="335" t="str">
        <f>IF(ISNUMBER(Datos!CC17),Datos!CC17," - ")</f>
        <v xml:space="preserve"> - </v>
      </c>
      <c r="AA17" s="332">
        <f>IF(ISNUMBER(Datos!L17),Datos!L17,"-")</f>
        <v>301</v>
      </c>
      <c r="AB17" s="334">
        <f>IF(ISNUMBER(Datos!R17),Datos!R17," - ")</f>
        <v>6</v>
      </c>
      <c r="AC17" s="334">
        <f t="shared" si="6"/>
        <v>307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53</v>
      </c>
      <c r="AJ17" s="231" t="str">
        <f>IF(ISNUMBER(Datos!BW17),Datos!BW17," - ")</f>
        <v xml:space="preserve"> - </v>
      </c>
      <c r="AK17" s="232" t="str">
        <f>IF(ISNUMBER(Datos!BX17),Datos!BX17," - ")</f>
        <v xml:space="preserve"> - </v>
      </c>
      <c r="AL17" s="243">
        <f>IF(ISNUMBER(NºAsuntos!G17/NºAsuntos!E17),NºAsuntos!G17/NºAsuntos!E17," - ")</f>
        <v>0.93018480492813138</v>
      </c>
      <c r="AM17" s="260">
        <f>IF(ISNUMBER(((NºAsuntos!I17/NºAsuntos!G17)*11)/factor_trimestre),((NºAsuntos!I17/NºAsuntos!G17)*11)/factor_trimestre," - ")</f>
        <v>1.3289183222958056</v>
      </c>
      <c r="AN17" s="244">
        <f>IF(ISNUMBER('Resol  Asuntos'!D17/NºAsuntos!G17),'Resol  Asuntos'!D17/NºAsuntos!G17," - ")</f>
        <v>0.11699779249448124</v>
      </c>
      <c r="AO17" s="245">
        <f>IF(ISNUMBER((NºAsuntos!C17+NºAsuntos!E17)/NºAsuntos!G17),(NºAsuntos!C17+NºAsuntos!E17)/NºAsuntos!G17," - ")</f>
        <v>1.6644591611479029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2862</v>
      </c>
      <c r="G18" s="866">
        <f>SUBTOTAL(9,G15:G17)</f>
        <v>3106</v>
      </c>
      <c r="H18" s="865">
        <f t="shared" ref="H18:O18" si="10">SUBTOTAL(9,H14:H17)</f>
        <v>0</v>
      </c>
      <c r="I18" s="867">
        <f t="shared" si="10"/>
        <v>0</v>
      </c>
      <c r="J18" s="867">
        <f t="shared" si="10"/>
        <v>0</v>
      </c>
      <c r="K18" s="867">
        <f t="shared" si="10"/>
        <v>0</v>
      </c>
      <c r="L18" s="867">
        <f t="shared" si="10"/>
        <v>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2473</v>
      </c>
      <c r="X18" s="867">
        <f t="shared" si="11"/>
        <v>101</v>
      </c>
      <c r="Y18" s="868">
        <f t="shared" si="11"/>
        <v>2475</v>
      </c>
      <c r="Z18" s="868">
        <f t="shared" si="11"/>
        <v>0</v>
      </c>
      <c r="AA18" s="868">
        <f t="shared" si="11"/>
        <v>3461</v>
      </c>
      <c r="AB18" s="868">
        <f t="shared" si="11"/>
        <v>302</v>
      </c>
      <c r="AC18" s="868">
        <f t="shared" si="11"/>
        <v>3763</v>
      </c>
      <c r="AD18" s="868">
        <f t="shared" si="11"/>
        <v>0</v>
      </c>
      <c r="AE18" s="872">
        <f t="shared" si="11"/>
        <v>0</v>
      </c>
      <c r="AF18" s="865">
        <f t="shared" si="11"/>
        <v>0</v>
      </c>
      <c r="AG18" s="873">
        <f t="shared" si="11"/>
        <v>0</v>
      </c>
      <c r="AH18" s="870">
        <f t="shared" si="11"/>
        <v>0</v>
      </c>
      <c r="AI18" s="865">
        <f t="shared" si="11"/>
        <v>356</v>
      </c>
      <c r="AJ18" s="867">
        <f t="shared" si="11"/>
        <v>0</v>
      </c>
      <c r="AK18" s="870">
        <f t="shared" si="11"/>
        <v>0</v>
      </c>
      <c r="AL18" s="874">
        <f>IF(ISNUMBER(NºAsuntos!G18/NºAsuntos!E18),NºAsuntos!G18/NºAsuntos!E18," - ")</f>
        <v>0.88163992869875218</v>
      </c>
      <c r="AM18" s="874">
        <f>IF(ISNUMBER(((NºAsuntos!I18/NºAsuntos!G18)*11)/factor_trimestre),((NºAsuntos!I18/NºAsuntos!G18)*11)/factor_trimestre," - ")</f>
        <v>2.7990295188030734</v>
      </c>
      <c r="AN18" s="875">
        <f>IF(ISNUMBER('Resol  Asuntos'!D18/NºAsuntos!G18),'Resol  Asuntos'!D18/NºAsuntos!G18," - ")</f>
        <v>0.14395471087747674</v>
      </c>
      <c r="AO18" s="876">
        <f>IF(ISNUMBER((NºAsuntos!C18+NºAsuntos!E18)/NºAsuntos!G18),(NºAsuntos!C18+NºAsuntos!E18)/NºAsuntos!G18," - ")</f>
        <v>2.3902143145976549</v>
      </c>
      <c r="AP18" s="877" t="str">
        <f t="shared" si="2"/>
        <v xml:space="preserve"> - </v>
      </c>
      <c r="AQ18" s="877">
        <f>IF(ISNUMBER((H18-W18+K18)/(F18)),(H18-W18+K18)/(F18)," - ")</f>
        <v>-0.86408106219426972</v>
      </c>
      <c r="AR18" s="878">
        <f>IF(ISNUMBER((Datos!P18-Datos!Q18)/(Datos!R18-Datos!P18+Datos!Q18)),(Datos!P18-Datos!Q18)/(Datos!R18-Datos!P18+Datos!Q18)," - ")</f>
        <v>-3.8216560509554139E-2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2964</v>
      </c>
      <c r="G19" s="821">
        <f t="shared" si="13"/>
        <v>3208</v>
      </c>
      <c r="H19" s="820">
        <f t="shared" si="13"/>
        <v>0</v>
      </c>
      <c r="I19" s="822">
        <f t="shared" si="13"/>
        <v>0</v>
      </c>
      <c r="J19" s="822">
        <f t="shared" si="13"/>
        <v>0</v>
      </c>
      <c r="K19" s="881">
        <f t="shared" si="13"/>
        <v>0</v>
      </c>
      <c r="L19" s="822">
        <f t="shared" si="13"/>
        <v>455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2497</v>
      </c>
      <c r="X19" s="821">
        <f t="shared" si="14"/>
        <v>535</v>
      </c>
      <c r="Y19" s="828">
        <f t="shared" si="14"/>
        <v>2933</v>
      </c>
      <c r="Z19" s="828">
        <f t="shared" si="14"/>
        <v>0</v>
      </c>
      <c r="AA19" s="828">
        <f t="shared" si="14"/>
        <v>3567</v>
      </c>
      <c r="AB19" s="828">
        <f t="shared" si="14"/>
        <v>7129</v>
      </c>
      <c r="AC19" s="828">
        <f t="shared" si="14"/>
        <v>3910</v>
      </c>
      <c r="AD19" s="828">
        <f t="shared" si="14"/>
        <v>0</v>
      </c>
      <c r="AE19" s="830">
        <f t="shared" si="14"/>
        <v>0</v>
      </c>
      <c r="AF19" s="831">
        <f t="shared" si="14"/>
        <v>0</v>
      </c>
      <c r="AG19" s="832">
        <f t="shared" si="14"/>
        <v>0</v>
      </c>
      <c r="AH19" s="830">
        <f t="shared" si="14"/>
        <v>0</v>
      </c>
      <c r="AI19" s="820">
        <f t="shared" si="14"/>
        <v>671</v>
      </c>
      <c r="AJ19" s="820">
        <f t="shared" si="14"/>
        <v>0</v>
      </c>
      <c r="AK19" s="830">
        <f t="shared" si="14"/>
        <v>0</v>
      </c>
      <c r="AL19" s="884">
        <f>IF(ISNUMBER(NºAsuntos!G19/NºAsuntos!E19),NºAsuntos!G19/NºAsuntos!E19," - ")</f>
        <v>0.80862296524417066</v>
      </c>
      <c r="AM19" s="885">
        <f>IF(ISNUMBER(((NºAsuntos!I19/NºAsuntos!G19)*11)/factor_trimestre),((NºAsuntos!I19/NºAsuntos!G19)*11)/factor_trimestre," - ")</f>
        <v>5.4455930359085967</v>
      </c>
      <c r="AN19" s="885">
        <f>IF(ISNUMBER('Resol  Asuntos'!D19/NºAsuntos!G19),'Resol  Asuntos'!D19/NºAsuntos!G19," - ")</f>
        <v>0.18253536452665942</v>
      </c>
      <c r="AO19" s="886">
        <f>IF(ISNUMBER((NºAsuntos!C19+NºAsuntos!E19)/NºAsuntos!G19),(NºAsuntos!C19+NºAsuntos!E19)/NºAsuntos!G19," - ")</f>
        <v>3.7165397170837866</v>
      </c>
      <c r="AP19" s="887" t="str">
        <f t="shared" si="2"/>
        <v xml:space="preserve"> - </v>
      </c>
      <c r="AQ19" s="888">
        <f>IF(OR(ISNUMBER(FIND("01",Criterios!A8,1)),ISNUMBER(FIND("02",Criterios!A8,1)),ISNUMBER(FIND("03",Criterios!A8,1)),ISNUMBER(FIND("04",Criterios!A8,1))),(I19-W19+K19)/(F19-K19),(H19-W19+K19)/(F19-K19))</f>
        <v>-0.84244264507422406</v>
      </c>
      <c r="AR19" s="889">
        <f>IF(ISNUMBER((Datos!P19-Datos!Q19)/(Datos!R19-Datos!P19+Datos!Q19)),(Datos!P19-Datos!Q19)/(Datos!R19-Datos!P19+Datos!Q19)," - ")</f>
        <v>-1.1097239561659037E-2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1069.3333333333333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1529.9688885725748</v>
      </c>
      <c r="G21" s="253">
        <f>IF(ISNUMBER(STDEV(G8:G18)),STDEV(G8:G18),"-")</f>
        <v>1478.3141299015804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1117.6598170582438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163.61518441583769</v>
      </c>
      <c r="AJ21" s="252">
        <f t="shared" si="18"/>
        <v>0</v>
      </c>
      <c r="AK21" s="254">
        <f t="shared" si="18"/>
        <v>0</v>
      </c>
      <c r="AL21" s="249">
        <f t="shared" si="18"/>
        <v>0.10403780137385767</v>
      </c>
      <c r="AM21" s="250">
        <f t="shared" si="18"/>
        <v>4.3196752528261984</v>
      </c>
      <c r="AN21" s="250">
        <f t="shared" si="18"/>
        <v>0.31273470176258367</v>
      </c>
      <c r="AO21" s="251">
        <f t="shared" si="18"/>
        <v>2.1620150614168137</v>
      </c>
      <c r="AP21" s="291" t="str">
        <f t="shared" si="18"/>
        <v>-</v>
      </c>
      <c r="AQ21" s="292">
        <f t="shared" si="18"/>
        <v>0.44461951241090247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sAecwqKh6aM7IGgJfGdI3ehu4wvFNWyg91wmKhwv2nJRCJ4Nu2GoyZHEDi7skzErY4FtQZctO3k+EZ1MGQlhjA==" saltValue="JDO/TwA7zRTTGCXy8zb4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BENIDORM</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-7.621951219512195E-2</v>
      </c>
      <c r="I9" s="350">
        <f>IF(ISNUMBER((Tasas!C9-Datos!BE9)/Datos!BE9),(Tasas!C9-Datos!BE9)/Datos!BE9," - ")</f>
        <v>0.77257977754255658</v>
      </c>
      <c r="J9" s="349">
        <f>IF(ISNUMBER((Tasas!D9-Datos!BF9)/Datos!BF9),(Tasas!D9-Datos!BF9)/Datos!BF9," - ")</f>
        <v>-0.41796515593558164</v>
      </c>
      <c r="K9" s="351">
        <f>IF(ISNUMBER((Tasas!E9-Datos!BG9)/Datos!BG9),(Tasas!E9-Datos!BG9)/Datos!BG9," - ")</f>
        <v>0.74741144939552284</v>
      </c>
      <c r="M9" t="e">
        <f>IF(Monitorios="SI",Datos!CE9,0)</f>
        <v>#REF!</v>
      </c>
      <c r="N9" t="e">
        <f>IF(Monitorios="SI",Datos!CF9,0)</f>
        <v>#REF!</v>
      </c>
      <c r="O9" t="e">
        <f>IF(Monitorios="SI",Datos!CG9,0)</f>
        <v>#REF!</v>
      </c>
      <c r="P9" t="e">
        <f>IF(Monitorios="SI",Datos!CH9,0)</f>
        <v>#REF!</v>
      </c>
      <c r="Q9">
        <f>IF(J_V="SI",0,Datos!AG9)</f>
        <v>173</v>
      </c>
      <c r="R9">
        <f>IF(J_V="SI",0,Datos!AH9)</f>
        <v>86</v>
      </c>
      <c r="S9">
        <f>IF(J_V="SI",0,Datos!AI9)</f>
        <v>104</v>
      </c>
      <c r="T9">
        <f>IF(J_V="SI",0,Datos!AJ9)</f>
        <v>172</v>
      </c>
    </row>
    <row r="10" spans="2:20" ht="14.25">
      <c r="B10" s="275" t="s">
        <v>246</v>
      </c>
      <c r="C10" s="7" t="str">
        <f>Datos!A10</f>
        <v>Jdos. Violencia contra la mujer</v>
      </c>
      <c r="D10" s="352">
        <f>IF(ISNUMBER((Datos!I10-Datos!S10)/Datos!S10),(Datos!I10-Datos!S10)/Datos!S10," - ")</f>
        <v>0.96153846153846156</v>
      </c>
      <c r="E10" s="348">
        <f>IF(ISNUMBER((Datos!J10-Datos!T10)/Datos!T10),(Datos!J10-Datos!T10)/Datos!T10," - ")</f>
        <v>0.16666666666666666</v>
      </c>
      <c r="F10" s="348">
        <f>IF(ISNUMBER((Datos!K10-Datos!U10)/Datos!U10),(Datos!K10-Datos!U10)/Datos!U10," - ")</f>
        <v>-0.04</v>
      </c>
      <c r="G10" s="349">
        <f>IF(ISNUMBER((Datos!L10-Datos!V10)/Datos!V10),(Datos!L10-Datos!V10)/Datos!V10," - ")</f>
        <v>1.0784313725490196</v>
      </c>
      <c r="H10" s="230">
        <f>IF(ISNUMBER((Datos!M10-Datos!W10)/Datos!W10),(Datos!M10-Datos!W10)/Datos!W10," - ")</f>
        <v>1.2</v>
      </c>
      <c r="I10" s="350">
        <f>IF(ISNUMBER((Tasas!C10-Datos!BE10)/Datos!BE10),(Tasas!C10-Datos!BE10)/Datos!BE10," - ")</f>
        <v>1.1650326797385622</v>
      </c>
      <c r="J10" s="349">
        <f>IF(ISNUMBER((Tasas!D10-Datos!BF10)/Datos!BF10),(Tasas!D10-Datos!BF10)/Datos!BF10," - ")</f>
        <v>1.2916666666666665</v>
      </c>
      <c r="K10" s="351">
        <f>IF(ISNUMBER((Tasas!E10-Datos!BG10)/Datos!BG10),(Tasas!E10-Datos!BG10)/Datos!BG10," - ")</f>
        <v>0.78179824561403521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-5.4054054054054057E-2</v>
      </c>
      <c r="I13" s="357">
        <f>IF(ISNUMBER((Tasas!C13-Datos!BE13)/Datos!BE13),(Tasas!C13-Datos!BE13)/Datos!BE13," - ")</f>
        <v>0.77213626679305303</v>
      </c>
      <c r="J13" s="355">
        <f>IF(ISNUMBER((Tasas!D13-Datos!BF13)/Datos!BF13),(Tasas!D13-Datos!BF13)/Datos!BF13," - ")</f>
        <v>-0.40303160010421707</v>
      </c>
      <c r="K13" s="358">
        <f>IF(ISNUMBER((Tasas!E13-Datos!BG13)/Datos!BG13),(Tasas!E13-Datos!BG13)/Datos!BG13," - ")</f>
        <v>0.74447964284267198</v>
      </c>
      <c r="M13" t="e">
        <f>IF(Monitorios="SI",Datos!CE13,0)</f>
        <v>#REF!</v>
      </c>
      <c r="N13" t="e">
        <f>IF(Monitorios="SI",Datos!CF13,0)</f>
        <v>#REF!</v>
      </c>
      <c r="O13" t="e">
        <f>IF(Monitorios="SI",Datos!CG13,0)</f>
        <v>#REF!</v>
      </c>
      <c r="P13" t="e">
        <f>IF(Monitorios="SI",Datos!CH13,0)</f>
        <v>#REF!</v>
      </c>
      <c r="Q13">
        <f>IF(J_V="SI",0,Datos!AG13)</f>
        <v>173</v>
      </c>
      <c r="R13">
        <f>IF(J_V="SI",0,Datos!AH13)</f>
        <v>86</v>
      </c>
      <c r="S13">
        <f>IF(J_V="SI",0,Datos!AI13)</f>
        <v>104</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0.21135781383432964</v>
      </c>
      <c r="E15" s="348">
        <f>IF(ISNUMBER(
   IF(D_I="SI",(Datos!J15-Datos!T15)/Datos!T15,(Datos!J15+Datos!AD15-(Datos!T15+Datos!AL15))/(Datos!T15+Datos!AL15))
     ),IF(D_I="SI",(Datos!J15-Datos!T15)/Datos!T15,(Datos!J15+Datos!AD15-(Datos!T15+Datos!AL15))/(Datos!T15+Datos!AL15))," - ")</f>
        <v>0.30812641083521447</v>
      </c>
      <c r="F15" s="348">
        <f>IF(ISNUMBER(
   IF(D_I="SI",(Datos!K15-Datos!U15)/Datos!U15,(Datos!K15+Datos!AE15-(Datos!U15+Datos!AM15))/(Datos!U15+Datos!AM15))
     ),IF(D_I="SI",(Datos!K15-Datos!U15)/Datos!U15,(Datos!K15+Datos!AE15-(Datos!U15+Datos!AM15))/(Datos!U15+Datos!AM15))," - ")</f>
        <v>5.8700209643605873E-2</v>
      </c>
      <c r="G15" s="349">
        <f>IF(ISNUMBER(
   IF(D_I="SI",(Datos!L15-Datos!V15)/Datos!V15,(Datos!L15+Datos!AF15-(Datos!V15+Datos!AN15))/(Datos!V15+Datos!AN15))
     ),IF(D_I="SI",(Datos!L15-Datos!V15)/Datos!V15,(Datos!L15+Datos!AF15-(Datos!V15+Datos!AN15))/(Datos!V15+Datos!AN15))," - ")</f>
        <v>0.35886402753872632</v>
      </c>
      <c r="H15" s="230">
        <f>IF(ISNUMBER((Datos!M15-Datos!W15)/Datos!W15),(Datos!M15-Datos!W15)/Datos!W15," - ")</f>
        <v>6.6901408450704219E-2</v>
      </c>
      <c r="I15" s="350">
        <f>IF(ISNUMBER((Tasas!C15-Datos!BE15)/Datos!BE15),(Tasas!C15-Datos!BE15)/Datos!BE15," - ")</f>
        <v>0.28352107155638112</v>
      </c>
      <c r="J15" s="349">
        <f>IF(ISNUMBER((Tasas!D15-Datos!BF15)/Datos!BF15),(Tasas!D15-Datos!BF15)/Datos!BF15," - ")</f>
        <v>7.7464788732393101E-3</v>
      </c>
      <c r="K15" s="351">
        <f>IF(ISNUMBER((Tasas!E15-Datos!BG15)/Datos!BG15),(Tasas!E15-Datos!BG15)/Datos!BG15," - ")</f>
        <v>0.18356300870728787</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0.72258064516129028</v>
      </c>
      <c r="E17" s="348">
        <f>IF(ISNUMBER(
   IF(D_I="SI",(Datos!J17-Datos!T17)/Datos!T17,(Datos!J17+Datos!AD17-(Datos!T17+Datos!AL17))/(Datos!T17+Datos!AL17))
     ),IF(D_I="SI",(Datos!J17-Datos!T17)/Datos!T17,(Datos!J17+Datos!AD17-(Datos!T17+Datos!AL17))/(Datos!T17+Datos!AL17))," - ")</f>
        <v>9.1928251121076235E-2</v>
      </c>
      <c r="F17" s="348">
        <f>IF(ISNUMBER(
   IF(D_I="SI",(Datos!K17-Datos!U17)/Datos!U17,(Datos!K17+Datos!AE17-(Datos!U17+Datos!AM17))/(Datos!U17+Datos!AM17))
     ),IF(D_I="SI",(Datos!K17-Datos!U17)/Datos!U17,(Datos!K17+Datos!AE17-(Datos!U17+Datos!AM17))/(Datos!U17+Datos!AM17))," - ")</f>
        <v>0.10757946210268948</v>
      </c>
      <c r="G17" s="349">
        <f>IF(ISNUMBER(
   IF(D_I="SI",(Datos!L17-Datos!V17)/Datos!V17,(Datos!L17+Datos!AF17-(Datos!V17+Datos!AN17))/(Datos!V17+Datos!AN17))
     ),IF(D_I="SI",(Datos!L17-Datos!V17)/Datos!V17,(Datos!L17+Datos!AF17-(Datos!V17+Datos!AN17))/(Datos!V17+Datos!AN17))," - ")</f>
        <v>0.56770833333333337</v>
      </c>
      <c r="H17" s="230">
        <f>IF(ISNUMBER((Datos!M17-Datos!W17)/Datos!W17),(Datos!M17-Datos!W17)/Datos!W17," - ")</f>
        <v>-7.0175438596491224E-2</v>
      </c>
      <c r="I17" s="350">
        <f>IF(ISNUMBER((Tasas!C17-Datos!BE17)/Datos!BE17),(Tasas!C17-Datos!BE17)/Datos!BE17," - ")</f>
        <v>0.41543644223693882</v>
      </c>
      <c r="J17" s="349">
        <f>IF(ISNUMBER((Tasas!D17-Datos!BF17)/Datos!BF17),(Tasas!D17-Datos!BF17)/Datos!BF17," - ")</f>
        <v>-0.16048952403082764</v>
      </c>
      <c r="K17" s="351">
        <f>IF(ISNUMBER((Tasas!E17-Datos!BG17)/Datos!BG17),(Tasas!E17-Datos!BG17)/Datos!BG17," - ")</f>
        <v>0.13271846407569438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0.24289715886354543</v>
      </c>
      <c r="E18" s="354">
        <f>IF(ISNUMBER(
   IF(D_I="SI",(Datos!J18-Datos!T18)/Datos!T18,(Datos!J18+Datos!AD18-(Datos!T18+Datos!AL18))/(Datos!T18+Datos!AL18))
     ),IF(D_I="SI",(Datos!J18-Datos!T18)/Datos!T18,(Datos!J18+Datos!AD18-(Datos!T18+Datos!AL18))/(Datos!T18+Datos!AL18))," - ")</f>
        <v>0.26465284039675385</v>
      </c>
      <c r="F18" s="354">
        <f>IF(ISNUMBER(
   IF(D_I="SI",(Datos!K18-Datos!U18)/Datos!U18,(Datos!K18+Datos!AE18-(Datos!U18+Datos!AM18))/(Datos!U18+Datos!AM18))
     ),IF(D_I="SI",(Datos!K18-Datos!U18)/Datos!U18,(Datos!K18+Datos!AE18-(Datos!U18+Datos!AM18))/(Datos!U18+Datos!AM18))," - ")</f>
        <v>6.7328441950798443E-2</v>
      </c>
      <c r="G18" s="355">
        <f>IF(ISNUMBER(
   IF(D_I="SI",(Datos!L18-Datos!V18)/Datos!V18,(Datos!L18+Datos!AF18-(Datos!V18+Datos!AN18))/(Datos!V18+Datos!AN18))
     ),IF(D_I="SI",(Datos!L18-Datos!V18)/Datos!V18,(Datos!L18+Datos!AF18-(Datos!V18+Datos!AN18))/(Datos!V18+Datos!AN18))," - ")</f>
        <v>0.37450357426528991</v>
      </c>
      <c r="H18" s="356">
        <f>IF(ISNUMBER((Datos!M18-Datos!W18)/Datos!W18),(Datos!M18-Datos!W18)/Datos!W18," - ")</f>
        <v>4.398826979472141E-2</v>
      </c>
      <c r="I18" s="357">
        <f>IF(ISNUMBER((Tasas!C18-Datos!BE18)/Datos!BE18),(Tasas!C18-Datos!BE18)/Datos!BE18," - ")</f>
        <v>0.28779813245963493</v>
      </c>
      <c r="J18" s="355">
        <f>IF(ISNUMBER((Tasas!D18-Datos!BF18)/Datos!BF18),(Tasas!D18-Datos!BF18)/Datos!BF18," - ")</f>
        <v>-2.1867844272394143E-2</v>
      </c>
      <c r="K18" s="358">
        <f>IF(ISNUMBER((Tasas!E18-Datos!BG18)/Datos!BG18),(Tasas!E18-Datos!BG18)/Datos!BG18," - ")</f>
        <v>0.17407813587508286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0.21271783956365573</v>
      </c>
      <c r="E19" s="363">
        <f>IF(ISNUMBER(
   IF(J_V="SI",(Datos!J19-Datos!T19)/Datos!T19,(Datos!J19+Datos!Z19-(Datos!T19+Datos!AH19))/(Datos!T19+Datos!AH19))
     ),IF(J_V="SI",(Datos!J19-Datos!T19)/Datos!T19,(Datos!J19+Datos!Z19-(Datos!T19+Datos!AH19))/(Datos!T19+Datos!AH19))," - ")</f>
        <v>0.14508816120906801</v>
      </c>
      <c r="F19" s="363">
        <f>IF(ISNUMBER(
   IF(J_V="SI",(Datos!K19-Datos!U19)/Datos!U19,(Datos!K19+Datos!AA19-(Datos!U19+Datos!AI19))/(Datos!U19+Datos!AI19))
     ),IF(J_V="SI",(Datos!K19-Datos!U19)/Datos!U19,(Datos!K19+Datos!AA19-(Datos!U19+Datos!AI19))/(Datos!U19+Datos!AI19))," - ")</f>
        <v>-0.11421686746987952</v>
      </c>
      <c r="G19" s="364">
        <f>IF(ISNUMBER(
   IF(J_V="SI",(Datos!L19-Datos!V19)/Datos!V19,(Datos!L19+Datos!AB19-(Datos!V19+Datos!AJ19))/(Datos!V19+Datos!AJ19))
     ),IF(J_V="SI",(Datos!L19-Datos!V19)/Datos!V19,(Datos!L19+Datos!AB19-(Datos!V19+Datos!AJ19))/(Datos!V19+Datos!AJ19))," - ")</f>
        <v>0.22839960726558664</v>
      </c>
      <c r="H19" s="365">
        <f>IF(ISNUMBER((Datos!M19-Datos!W19)/Datos!W19),(Datos!M19-Datos!W19)/Datos!W19," - ")</f>
        <v>-4.4510385756676559E-3</v>
      </c>
      <c r="I19" s="362">
        <f>IF(ISNUMBER((Tasas!C19-Datos!BE19)/Datos!BE19),(Tasas!C19-Datos!BE19)/Datos!BE19," - ")</f>
        <v>0.38679498643965865</v>
      </c>
      <c r="J19" s="363">
        <f>IF(ISNUMBER((Tasas!D19-Datos!BF19)/Datos!BF19),(Tasas!D19-Datos!BF19)/Datos!BF19," - ")</f>
        <v>-0.33840894079857076</v>
      </c>
      <c r="K19" s="364">
        <f>IF(ISNUMBER((Tasas!E19-Datos!BG19)/Datos!BG19),(Tasas!E19-Datos!BG19)/Datos!BG19," - ")</f>
        <v>0.34270391102095532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0.39869205420485176</v>
      </c>
      <c r="E21" s="278">
        <f t="shared" si="1"/>
        <v>9.7323926294128033E-2</v>
      </c>
      <c r="F21" s="278">
        <f t="shared" si="1"/>
        <v>6.2666176288043995E-2</v>
      </c>
      <c r="G21" s="279">
        <f t="shared" si="1"/>
        <v>0.39431341879471338</v>
      </c>
      <c r="H21" s="285">
        <f t="shared" si="1"/>
        <v>0.50090987847914403</v>
      </c>
      <c r="I21" s="277">
        <f t="shared" si="1"/>
        <v>0.34894614082536968</v>
      </c>
      <c r="J21" s="278">
        <f t="shared" si="1"/>
        <v>0.63517221715630556</v>
      </c>
      <c r="K21" s="279">
        <f t="shared" si="1"/>
        <v>0.32630271628793822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0etu9b79xSvIhWS0GcNbkXa6fY5fISDQMP2Q3gQFHdt17yxDW2P+ERhT+KOBS4AiA4sLVqRLQNX5ofyXKpQUw==" saltValue="EbfE+KODKs1FSxD6koQl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